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5.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rawings/drawing6.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20"/>
  <workbookPr showInkAnnotation="0" updateLinks="never" codeName="ThisWorkbook" autoCompressPictures="0"/>
  <mc:AlternateContent xmlns:mc="http://schemas.openxmlformats.org/markup-compatibility/2006">
    <mc:Choice Requires="x15">
      <x15ac:absPath xmlns:x15ac="http://schemas.microsoft.com/office/spreadsheetml/2010/11/ac" url="/Users/thomasbittner/Library/CloudStorage/Dropbox/Documents/UWSA/Planning/Workshops/Forms/"/>
    </mc:Choice>
  </mc:AlternateContent>
  <xr:revisionPtr revIDLastSave="0" documentId="13_ncr:1_{F9596F52-A9C5-CF48-AD71-ACB39C5EDD8E}" xr6:coauthVersionLast="47" xr6:coauthVersionMax="47" xr10:uidLastSave="{00000000-0000-0000-0000-000000000000}"/>
  <bookViews>
    <workbookView xWindow="2720" yWindow="7020" windowWidth="38400" windowHeight="21600" tabRatio="851" activeTab="1" xr2:uid="{00000000-000D-0000-FFFF-FFFF00000000}"/>
  </bookViews>
  <sheets>
    <sheet name="PBW_SUMMARY" sheetId="4" r:id="rId1"/>
    <sheet name="PBW" sheetId="2" r:id="rId2"/>
    <sheet name="PBW_ALTERNATE_SUMMARY" sheetId="32" r:id="rId3"/>
    <sheet name="PBW_ALTERNATE" sheetId="25" r:id="rId4"/>
    <sheet name="ENR" sheetId="33" r:id="rId5"/>
    <sheet name="READ ME" sheetId="21" r:id="rId6"/>
    <sheet name="COST GUIDELINES" sheetId="20" r:id="rId7"/>
    <sheet name="SAMPLE" sheetId="35" r:id="rId8"/>
    <sheet name="LOOKUPS" sheetId="24" r:id="rId9"/>
  </sheets>
  <definedNames>
    <definedName name="DURATION">LOOKUPS!$F$2:$H$7</definedName>
    <definedName name="ENR">PBW!$H$12</definedName>
    <definedName name="ENR_ALTERNATE" localSheetId="3">PBW_ALTERNATE!$H$12</definedName>
    <definedName name="ENR_COST_GUIDE" localSheetId="6">PBW!$H$13</definedName>
    <definedName name="ENR_README" localSheetId="5">PBW!$H$13</definedName>
    <definedName name="ENR_SAMPLE" localSheetId="7">SAMPLE!$H$12</definedName>
    <definedName name="_xlnm.Print_Area" localSheetId="6">'COST GUIDELINES'!$A$1:$F$53</definedName>
    <definedName name="_xlnm.Print_Area" localSheetId="1">PBW!$A$1:$H$192</definedName>
    <definedName name="_xlnm.Print_Area" localSheetId="3">PBW_ALTERNATE!$A$1:$H$192</definedName>
    <definedName name="_xlnm.Print_Area" localSheetId="2">PBW_ALTERNATE_SUMMARY!$A$1:$H$42</definedName>
    <definedName name="_xlnm.Print_Area" localSheetId="0">PBW_SUMMARY!$A$1:$H$42</definedName>
    <definedName name="_xlnm.Print_Area" localSheetId="5">'READ ME'!$A$1:$B$33</definedName>
    <definedName name="_xlnm.Print_Area" localSheetId="7">SAMPLE!$A$1:$H$192</definedName>
    <definedName name="PROJECTTYPE">LOOKUPS!$C$2:$D$8</definedName>
    <definedName name="TOTCONST">PBW!$H$124</definedName>
    <definedName name="TOTCONST_ALTERNATE" localSheetId="3">PBW_ALTERNATE!$H$124</definedName>
    <definedName name="TOTCONST_COST_GUIDE" localSheetId="6">PBW!$H$124</definedName>
    <definedName name="TOTCONST_README" localSheetId="5">PBW!$H$124</definedName>
    <definedName name="TOTCONST_SAMPLE" localSheetId="7">SAMPLE!$H$124</definedName>
    <definedName name="VERSION">LOOKUPS!$A$1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32" l="1"/>
  <c r="C142" i="2" l="1"/>
  <c r="H1" i="35"/>
  <c r="E171" i="35"/>
  <c r="G158" i="35"/>
  <c r="D157" i="35" s="1"/>
  <c r="E157" i="35" s="1"/>
  <c r="C143" i="35"/>
  <c r="G137" i="35"/>
  <c r="C137" i="35"/>
  <c r="A122" i="35"/>
  <c r="B121" i="35"/>
  <c r="A121" i="35"/>
  <c r="H119" i="35"/>
  <c r="E133" i="35" s="1"/>
  <c r="H112" i="35"/>
  <c r="H111" i="35"/>
  <c r="H110" i="35"/>
  <c r="H109" i="35"/>
  <c r="H108" i="35"/>
  <c r="H107" i="35"/>
  <c r="H103" i="35"/>
  <c r="H102" i="35"/>
  <c r="H101" i="35"/>
  <c r="H100" i="35"/>
  <c r="H99" i="35"/>
  <c r="H98" i="35"/>
  <c r="H97" i="35"/>
  <c r="H96" i="35"/>
  <c r="H95" i="35"/>
  <c r="H94" i="35"/>
  <c r="H93" i="35"/>
  <c r="H92" i="35"/>
  <c r="H91" i="35"/>
  <c r="H90" i="35"/>
  <c r="H89" i="35"/>
  <c r="H88" i="35"/>
  <c r="H87" i="35"/>
  <c r="H86" i="35"/>
  <c r="H85" i="35"/>
  <c r="H84" i="35"/>
  <c r="H83" i="35"/>
  <c r="H82" i="35"/>
  <c r="H81" i="35"/>
  <c r="H80" i="35"/>
  <c r="H79" i="35"/>
  <c r="H78" i="35"/>
  <c r="H77" i="35"/>
  <c r="H76" i="35"/>
  <c r="H75" i="35"/>
  <c r="H74" i="35"/>
  <c r="H73" i="35"/>
  <c r="H72" i="35"/>
  <c r="H71" i="35"/>
  <c r="H70" i="35"/>
  <c r="A63" i="35"/>
  <c r="B62" i="35"/>
  <c r="A62" i="35"/>
  <c r="G47" i="35"/>
  <c r="G41" i="35"/>
  <c r="B37" i="35"/>
  <c r="D36" i="35"/>
  <c r="G36" i="35" s="1"/>
  <c r="D35" i="35"/>
  <c r="G35" i="35" s="1"/>
  <c r="D34" i="35"/>
  <c r="G34" i="35" s="1"/>
  <c r="D33" i="35"/>
  <c r="G33" i="35" s="1"/>
  <c r="D32" i="35"/>
  <c r="G32" i="35" s="1"/>
  <c r="D31" i="35"/>
  <c r="G31" i="35" s="1"/>
  <c r="D30" i="35"/>
  <c r="D37" i="35" s="1"/>
  <c r="B13" i="35" s="1"/>
  <c r="C14" i="35" s="1"/>
  <c r="B25" i="35"/>
  <c r="B9" i="35" s="1"/>
  <c r="D24" i="35"/>
  <c r="G24" i="35" s="1"/>
  <c r="D23" i="35"/>
  <c r="G23" i="35" s="1"/>
  <c r="D22" i="35"/>
  <c r="G22" i="35" s="1"/>
  <c r="D21" i="35"/>
  <c r="G21" i="35" s="1"/>
  <c r="D20" i="35"/>
  <c r="G20" i="35" s="1"/>
  <c r="D19" i="35"/>
  <c r="G19" i="35" s="1"/>
  <c r="D18" i="35"/>
  <c r="G18" i="35" s="1"/>
  <c r="E11" i="35"/>
  <c r="E10" i="35"/>
  <c r="G9" i="35"/>
  <c r="A1" i="21"/>
  <c r="H113" i="35" l="1"/>
  <c r="E128" i="35" s="1"/>
  <c r="H104" i="35"/>
  <c r="E127" i="35" s="1"/>
  <c r="G30" i="35"/>
  <c r="G37" i="35" s="1"/>
  <c r="H37" i="35" s="1"/>
  <c r="G25" i="35"/>
  <c r="H26" i="35" s="1"/>
  <c r="D25" i="35"/>
  <c r="B10" i="35" s="1"/>
  <c r="C10" i="35" s="1"/>
  <c r="H10" i="25" l="1"/>
  <c r="B5" i="4"/>
  <c r="B5" i="25"/>
  <c r="D140" i="2"/>
  <c r="C141" i="25"/>
  <c r="C140" i="25"/>
  <c r="I47" i="4"/>
  <c r="H1" i="32"/>
  <c r="H3" i="2"/>
  <c r="E13" i="32" l="1"/>
  <c r="H47" i="32"/>
  <c r="H1" i="25"/>
  <c r="E11" i="25"/>
  <c r="H1" i="2"/>
  <c r="H47" i="4"/>
  <c r="E13" i="4"/>
  <c r="E11" i="2"/>
  <c r="J4" i="33"/>
  <c r="J3" i="33"/>
  <c r="J5" i="33" s="1"/>
  <c r="G136" i="25" l="1"/>
  <c r="C136" i="25"/>
  <c r="C178" i="25"/>
  <c r="B178" i="25"/>
  <c r="A178" i="25"/>
  <c r="C177" i="25"/>
  <c r="B177" i="25"/>
  <c r="A177" i="25"/>
  <c r="C176" i="25"/>
  <c r="B176" i="25"/>
  <c r="A176" i="25"/>
  <c r="E177" i="25"/>
  <c r="C164" i="25"/>
  <c r="B164" i="25"/>
  <c r="A164" i="25"/>
  <c r="C163" i="25"/>
  <c r="B163" i="25"/>
  <c r="A163" i="25"/>
  <c r="C162" i="25"/>
  <c r="B162" i="25"/>
  <c r="A162" i="25"/>
  <c r="C161" i="25"/>
  <c r="B161" i="25"/>
  <c r="A161" i="25"/>
  <c r="E162" i="25"/>
  <c r="C156" i="25"/>
  <c r="B156" i="25"/>
  <c r="A156" i="25"/>
  <c r="C155" i="25"/>
  <c r="B155" i="25"/>
  <c r="A155" i="25"/>
  <c r="C154" i="25"/>
  <c r="B154" i="25"/>
  <c r="A154" i="25"/>
  <c r="C153" i="25"/>
  <c r="B153" i="25"/>
  <c r="A153" i="25"/>
  <c r="E155" i="25"/>
  <c r="E154" i="25"/>
  <c r="F67" i="25"/>
  <c r="E67" i="25"/>
  <c r="G137" i="2"/>
  <c r="G137" i="25" s="1"/>
  <c r="C137" i="2"/>
  <c r="C137" i="25" s="1"/>
  <c r="A5" i="24" l="1"/>
  <c r="A4" i="24"/>
  <c r="A3" i="24"/>
  <c r="H101" i="2"/>
  <c r="H96" i="2"/>
  <c r="H91" i="2"/>
  <c r="H86" i="2"/>
  <c r="H82" i="2"/>
  <c r="H76" i="2"/>
  <c r="H72" i="2"/>
  <c r="C131" i="25" l="1"/>
  <c r="A122" i="2"/>
  <c r="A121" i="2"/>
  <c r="H112" i="2"/>
  <c r="H111" i="2"/>
  <c r="H110" i="2"/>
  <c r="H109" i="2"/>
  <c r="H108" i="2"/>
  <c r="H107" i="2"/>
  <c r="H103" i="2"/>
  <c r="H102" i="2"/>
  <c r="H100" i="2"/>
  <c r="H99" i="2"/>
  <c r="H98" i="2"/>
  <c r="H97" i="2"/>
  <c r="H95" i="2"/>
  <c r="H94" i="2"/>
  <c r="H93" i="2"/>
  <c r="H92" i="2"/>
  <c r="H90" i="2"/>
  <c r="H89" i="2"/>
  <c r="H88" i="2"/>
  <c r="H87" i="2"/>
  <c r="H85" i="2"/>
  <c r="H84" i="2"/>
  <c r="H83" i="2"/>
  <c r="H81" i="2"/>
  <c r="H80" i="2"/>
  <c r="H79" i="2"/>
  <c r="H78" i="2"/>
  <c r="H77" i="2"/>
  <c r="H75" i="2"/>
  <c r="H74" i="2"/>
  <c r="H73" i="2"/>
  <c r="H71" i="2"/>
  <c r="H70" i="2"/>
  <c r="H119" i="2"/>
  <c r="A63" i="2"/>
  <c r="A62" i="2"/>
  <c r="G9" i="2"/>
  <c r="H113" i="2" l="1"/>
  <c r="H104" i="2"/>
  <c r="AC14" i="33" l="1"/>
  <c r="AC12" i="33" s="1"/>
  <c r="AB12" i="33"/>
  <c r="AB11" i="33"/>
  <c r="AB13" i="33" s="1"/>
  <c r="AC11" i="33" l="1"/>
  <c r="AC13" i="33" s="1"/>
  <c r="AB15" i="33"/>
  <c r="V12" i="33"/>
  <c r="V11" i="33"/>
  <c r="V13" i="33" s="1"/>
  <c r="P12" i="33"/>
  <c r="P11" i="33"/>
  <c r="D14" i="33"/>
  <c r="D11" i="33" s="1"/>
  <c r="C14" i="33"/>
  <c r="Z99" i="33"/>
  <c r="Y99" i="33"/>
  <c r="X99" i="33"/>
  <c r="W99" i="33"/>
  <c r="V99" i="33"/>
  <c r="U99" i="33"/>
  <c r="T99" i="33"/>
  <c r="S99" i="33"/>
  <c r="R99" i="33"/>
  <c r="Q99" i="33"/>
  <c r="P99" i="33"/>
  <c r="O99" i="33"/>
  <c r="Z98" i="33"/>
  <c r="Y98" i="33"/>
  <c r="X98" i="33"/>
  <c r="W98" i="33"/>
  <c r="V98" i="33"/>
  <c r="U98" i="33"/>
  <c r="T98" i="33"/>
  <c r="S98" i="33"/>
  <c r="R98" i="33"/>
  <c r="Q98" i="33"/>
  <c r="P98" i="33"/>
  <c r="O98" i="33"/>
  <c r="Z97" i="33"/>
  <c r="Y97" i="33"/>
  <c r="X97" i="33"/>
  <c r="W97" i="33"/>
  <c r="V97" i="33"/>
  <c r="U97" i="33"/>
  <c r="T97" i="33"/>
  <c r="S97" i="33"/>
  <c r="R97" i="33"/>
  <c r="Q97" i="33"/>
  <c r="P97" i="33"/>
  <c r="O97" i="33"/>
  <c r="Z96" i="33"/>
  <c r="Y96" i="33"/>
  <c r="X96" i="33"/>
  <c r="W96" i="33"/>
  <c r="V96" i="33"/>
  <c r="U96" i="33"/>
  <c r="T96" i="33"/>
  <c r="S96" i="33"/>
  <c r="R96" i="33"/>
  <c r="Q96" i="33"/>
  <c r="P96" i="33"/>
  <c r="O96" i="33"/>
  <c r="Z95" i="33"/>
  <c r="Y95" i="33"/>
  <c r="X95" i="33"/>
  <c r="W95" i="33"/>
  <c r="V95" i="33"/>
  <c r="U95" i="33"/>
  <c r="T95" i="33"/>
  <c r="S95" i="33"/>
  <c r="R95" i="33"/>
  <c r="Q95" i="33"/>
  <c r="P95" i="33"/>
  <c r="O95" i="33"/>
  <c r="Z94" i="33"/>
  <c r="Y94" i="33"/>
  <c r="X94" i="33"/>
  <c r="W94" i="33"/>
  <c r="V94" i="33"/>
  <c r="U94" i="33"/>
  <c r="T94" i="33"/>
  <c r="S94" i="33"/>
  <c r="R94" i="33"/>
  <c r="Q94" i="33"/>
  <c r="P94" i="33"/>
  <c r="O94" i="33"/>
  <c r="Z93" i="33"/>
  <c r="Y93" i="33"/>
  <c r="X93" i="33"/>
  <c r="W93" i="33"/>
  <c r="V93" i="33"/>
  <c r="U93" i="33"/>
  <c r="T93" i="33"/>
  <c r="S93" i="33"/>
  <c r="R93" i="33"/>
  <c r="Q93" i="33"/>
  <c r="P93" i="33"/>
  <c r="O93" i="33"/>
  <c r="Z92" i="33"/>
  <c r="Y92" i="33"/>
  <c r="X92" i="33"/>
  <c r="W92" i="33"/>
  <c r="V92" i="33"/>
  <c r="U92" i="33"/>
  <c r="T92" i="33"/>
  <c r="S92" i="33"/>
  <c r="R92" i="33"/>
  <c r="Q92" i="33"/>
  <c r="P92" i="33"/>
  <c r="O92" i="33"/>
  <c r="Z91" i="33"/>
  <c r="Y91" i="33"/>
  <c r="X91" i="33"/>
  <c r="W91" i="33"/>
  <c r="V91" i="33"/>
  <c r="U91" i="33"/>
  <c r="T91" i="33"/>
  <c r="S91" i="33"/>
  <c r="R91" i="33"/>
  <c r="Q91" i="33"/>
  <c r="P91" i="33"/>
  <c r="O91" i="33"/>
  <c r="Z90" i="33"/>
  <c r="Y90" i="33"/>
  <c r="X90" i="33"/>
  <c r="W90" i="33"/>
  <c r="V90" i="33"/>
  <c r="U90" i="33"/>
  <c r="T90" i="33"/>
  <c r="S90" i="33"/>
  <c r="R90" i="33"/>
  <c r="Q90" i="33"/>
  <c r="P90" i="33"/>
  <c r="O90" i="33"/>
  <c r="Z89" i="33"/>
  <c r="Y89" i="33"/>
  <c r="X89" i="33"/>
  <c r="W89" i="33"/>
  <c r="V89" i="33"/>
  <c r="U89" i="33"/>
  <c r="T89" i="33"/>
  <c r="S89" i="33"/>
  <c r="R89" i="33"/>
  <c r="Q89" i="33"/>
  <c r="P89" i="33"/>
  <c r="O89" i="33"/>
  <c r="Z88" i="33"/>
  <c r="Y88" i="33"/>
  <c r="X88" i="33"/>
  <c r="W88" i="33"/>
  <c r="V88" i="33"/>
  <c r="U88" i="33"/>
  <c r="T88" i="33"/>
  <c r="S88" i="33"/>
  <c r="R88" i="33"/>
  <c r="Q88" i="33"/>
  <c r="P88" i="33"/>
  <c r="O88" i="33"/>
  <c r="Z87" i="33"/>
  <c r="Y87" i="33"/>
  <c r="X87" i="33"/>
  <c r="W87" i="33"/>
  <c r="V87" i="33"/>
  <c r="U87" i="33"/>
  <c r="T87" i="33"/>
  <c r="S87" i="33"/>
  <c r="R87" i="33"/>
  <c r="Q87" i="33"/>
  <c r="P87" i="33"/>
  <c r="O87" i="33"/>
  <c r="Z86" i="33"/>
  <c r="Y86" i="33"/>
  <c r="X86" i="33"/>
  <c r="W86" i="33"/>
  <c r="V86" i="33"/>
  <c r="U86" i="33"/>
  <c r="T86" i="33"/>
  <c r="S86" i="33"/>
  <c r="R86" i="33"/>
  <c r="Q86" i="33"/>
  <c r="P86" i="33"/>
  <c r="O86" i="33"/>
  <c r="Z85" i="33"/>
  <c r="Y85" i="33"/>
  <c r="X85" i="33"/>
  <c r="W85" i="33"/>
  <c r="V85" i="33"/>
  <c r="U85" i="33"/>
  <c r="T85" i="33"/>
  <c r="S85" i="33"/>
  <c r="R85" i="33"/>
  <c r="Q85" i="33"/>
  <c r="P85" i="33"/>
  <c r="O85" i="33"/>
  <c r="Z84" i="33"/>
  <c r="Y84" i="33"/>
  <c r="X84" i="33"/>
  <c r="W84" i="33"/>
  <c r="V84" i="33"/>
  <c r="U84" i="33"/>
  <c r="T84" i="33"/>
  <c r="S84" i="33"/>
  <c r="R84" i="33"/>
  <c r="Q84" i="33"/>
  <c r="P84" i="33"/>
  <c r="O84" i="33"/>
  <c r="Z83" i="33"/>
  <c r="Y83" i="33"/>
  <c r="X83" i="33"/>
  <c r="W83" i="33"/>
  <c r="V83" i="33"/>
  <c r="U83" i="33"/>
  <c r="T83" i="33"/>
  <c r="S83" i="33"/>
  <c r="R83" i="33"/>
  <c r="Q83" i="33"/>
  <c r="P83" i="33"/>
  <c r="O83" i="33"/>
  <c r="Z82" i="33"/>
  <c r="Y82" i="33"/>
  <c r="X82" i="33"/>
  <c r="W82" i="33"/>
  <c r="V82" i="33"/>
  <c r="U82" i="33"/>
  <c r="T82" i="33"/>
  <c r="S82" i="33"/>
  <c r="R82" i="33"/>
  <c r="Q82" i="33"/>
  <c r="P82" i="33"/>
  <c r="O82" i="33"/>
  <c r="Z81" i="33"/>
  <c r="Y81" i="33"/>
  <c r="X81" i="33"/>
  <c r="W81" i="33"/>
  <c r="V81" i="33"/>
  <c r="U81" i="33"/>
  <c r="T81" i="33"/>
  <c r="S81" i="33"/>
  <c r="R81" i="33"/>
  <c r="Q81" i="33"/>
  <c r="P81" i="33"/>
  <c r="O81" i="33"/>
  <c r="Z80" i="33"/>
  <c r="Y80" i="33"/>
  <c r="X80" i="33"/>
  <c r="W80" i="33"/>
  <c r="V80" i="33"/>
  <c r="U80" i="33"/>
  <c r="T80" i="33"/>
  <c r="S80" i="33"/>
  <c r="R80" i="33"/>
  <c r="Q80" i="33"/>
  <c r="P80" i="33"/>
  <c r="O80" i="33"/>
  <c r="Z79" i="33"/>
  <c r="Y79" i="33"/>
  <c r="X79" i="33"/>
  <c r="W79" i="33"/>
  <c r="V79" i="33"/>
  <c r="U79" i="33"/>
  <c r="T79" i="33"/>
  <c r="S79" i="33"/>
  <c r="R79" i="33"/>
  <c r="Q79" i="33"/>
  <c r="P79" i="33"/>
  <c r="O79" i="33"/>
  <c r="Z78" i="33"/>
  <c r="Y78" i="33"/>
  <c r="X78" i="33"/>
  <c r="W78" i="33"/>
  <c r="V78" i="33"/>
  <c r="U78" i="33"/>
  <c r="T78" i="33"/>
  <c r="S78" i="33"/>
  <c r="R78" i="33"/>
  <c r="Q78" i="33"/>
  <c r="P78" i="33"/>
  <c r="O78" i="33"/>
  <c r="Z77" i="33"/>
  <c r="Y77" i="33"/>
  <c r="X77" i="33"/>
  <c r="W77" i="33"/>
  <c r="V77" i="33"/>
  <c r="U77" i="33"/>
  <c r="T77" i="33"/>
  <c r="S77" i="33"/>
  <c r="R77" i="33"/>
  <c r="Q77" i="33"/>
  <c r="P77" i="33"/>
  <c r="O77" i="33"/>
  <c r="Z76" i="33"/>
  <c r="Y76" i="33"/>
  <c r="X76" i="33"/>
  <c r="W76" i="33"/>
  <c r="V76" i="33"/>
  <c r="U76" i="33"/>
  <c r="T76" i="33"/>
  <c r="S76" i="33"/>
  <c r="R76" i="33"/>
  <c r="Q76" i="33"/>
  <c r="P76" i="33"/>
  <c r="O76" i="33"/>
  <c r="Z75" i="33"/>
  <c r="Y75" i="33"/>
  <c r="X75" i="33"/>
  <c r="W75" i="33"/>
  <c r="V75" i="33"/>
  <c r="U75" i="33"/>
  <c r="T75" i="33"/>
  <c r="S75" i="33"/>
  <c r="R75" i="33"/>
  <c r="Q75" i="33"/>
  <c r="P75" i="33"/>
  <c r="O75" i="33"/>
  <c r="Z74" i="33"/>
  <c r="Y74" i="33"/>
  <c r="X74" i="33"/>
  <c r="W74" i="33"/>
  <c r="V74" i="33"/>
  <c r="U74" i="33"/>
  <c r="T74" i="33"/>
  <c r="S74" i="33"/>
  <c r="R74" i="33"/>
  <c r="Q74" i="33"/>
  <c r="P74" i="33"/>
  <c r="O74" i="33"/>
  <c r="Z73" i="33"/>
  <c r="Y73" i="33"/>
  <c r="X73" i="33"/>
  <c r="W73" i="33"/>
  <c r="V73" i="33"/>
  <c r="U73" i="33"/>
  <c r="T73" i="33"/>
  <c r="S73" i="33"/>
  <c r="R73" i="33"/>
  <c r="Q73" i="33"/>
  <c r="P73" i="33"/>
  <c r="O73" i="33"/>
  <c r="Z72" i="33"/>
  <c r="Y72" i="33"/>
  <c r="X72" i="33"/>
  <c r="W72" i="33"/>
  <c r="V72" i="33"/>
  <c r="U72" i="33"/>
  <c r="T72" i="33"/>
  <c r="S72" i="33"/>
  <c r="R72" i="33"/>
  <c r="Q72" i="33"/>
  <c r="P72" i="33"/>
  <c r="O72" i="33"/>
  <c r="Z71" i="33"/>
  <c r="Y71" i="33"/>
  <c r="X71" i="33"/>
  <c r="W71" i="33"/>
  <c r="V71" i="33"/>
  <c r="U71" i="33"/>
  <c r="T71" i="33"/>
  <c r="S71" i="33"/>
  <c r="R71" i="33"/>
  <c r="Q71" i="33"/>
  <c r="P71" i="33"/>
  <c r="O71" i="33"/>
  <c r="Z70" i="33"/>
  <c r="Y70" i="33"/>
  <c r="X70" i="33"/>
  <c r="W70" i="33"/>
  <c r="V70" i="33"/>
  <c r="U70" i="33"/>
  <c r="T70" i="33"/>
  <c r="S70" i="33"/>
  <c r="R70" i="33"/>
  <c r="Q70" i="33"/>
  <c r="P70" i="33"/>
  <c r="O70" i="33"/>
  <c r="Z69" i="33"/>
  <c r="Y69" i="33"/>
  <c r="X69" i="33"/>
  <c r="W69" i="33"/>
  <c r="V69" i="33"/>
  <c r="U69" i="33"/>
  <c r="T69" i="33"/>
  <c r="S69" i="33"/>
  <c r="R69" i="33"/>
  <c r="Q69" i="33"/>
  <c r="P69" i="33"/>
  <c r="O69" i="33"/>
  <c r="Z68" i="33"/>
  <c r="Y68" i="33"/>
  <c r="X68" i="33"/>
  <c r="W68" i="33"/>
  <c r="V68" i="33"/>
  <c r="U68" i="33"/>
  <c r="T68" i="33"/>
  <c r="S68" i="33"/>
  <c r="R68" i="33"/>
  <c r="Q68" i="33"/>
  <c r="P68" i="33"/>
  <c r="O68" i="33"/>
  <c r="Z67" i="33"/>
  <c r="Y67" i="33"/>
  <c r="X67" i="33"/>
  <c r="W67" i="33"/>
  <c r="V67" i="33"/>
  <c r="U67" i="33"/>
  <c r="T67" i="33"/>
  <c r="S67" i="33"/>
  <c r="R67" i="33"/>
  <c r="Q67" i="33"/>
  <c r="P67" i="33"/>
  <c r="O67" i="33"/>
  <c r="Z66" i="33"/>
  <c r="Y66" i="33"/>
  <c r="X66" i="33"/>
  <c r="W66" i="33"/>
  <c r="V66" i="33"/>
  <c r="U66" i="33"/>
  <c r="T66" i="33"/>
  <c r="S66" i="33"/>
  <c r="R66" i="33"/>
  <c r="Q66" i="33"/>
  <c r="P66" i="33"/>
  <c r="O66" i="33"/>
  <c r="Z65" i="33"/>
  <c r="Y65" i="33"/>
  <c r="X65" i="33"/>
  <c r="W65" i="33"/>
  <c r="V65" i="33"/>
  <c r="U65" i="33"/>
  <c r="T65" i="33"/>
  <c r="S65" i="33"/>
  <c r="R65" i="33"/>
  <c r="Q65" i="33"/>
  <c r="P65" i="33"/>
  <c r="O65" i="33"/>
  <c r="Z64" i="33"/>
  <c r="Y64" i="33"/>
  <c r="X64" i="33"/>
  <c r="W64" i="33"/>
  <c r="V64" i="33"/>
  <c r="U64" i="33"/>
  <c r="T64" i="33"/>
  <c r="S64" i="33"/>
  <c r="R64" i="33"/>
  <c r="Q64" i="33"/>
  <c r="P64" i="33"/>
  <c r="O64" i="33"/>
  <c r="Z63" i="33"/>
  <c r="Y63" i="33"/>
  <c r="X63" i="33"/>
  <c r="W63" i="33"/>
  <c r="V63" i="33"/>
  <c r="U63" i="33"/>
  <c r="T63" i="33"/>
  <c r="S63" i="33"/>
  <c r="R63" i="33"/>
  <c r="Q63" i="33"/>
  <c r="P63" i="33"/>
  <c r="O63" i="33"/>
  <c r="Z62" i="33"/>
  <c r="Y62" i="33"/>
  <c r="X62" i="33"/>
  <c r="W62" i="33"/>
  <c r="V62" i="33"/>
  <c r="U62" i="33"/>
  <c r="T62" i="33"/>
  <c r="S62" i="33"/>
  <c r="R62" i="33"/>
  <c r="Q62" i="33"/>
  <c r="P62" i="33"/>
  <c r="O62" i="33"/>
  <c r="Z61" i="33"/>
  <c r="Y61" i="33"/>
  <c r="X61" i="33"/>
  <c r="W61" i="33"/>
  <c r="V61" i="33"/>
  <c r="U61" i="33"/>
  <c r="T61" i="33"/>
  <c r="S61" i="33"/>
  <c r="R61" i="33"/>
  <c r="Q61" i="33"/>
  <c r="P61" i="33"/>
  <c r="O61" i="33"/>
  <c r="Z60" i="33"/>
  <c r="Y60" i="33"/>
  <c r="X60" i="33"/>
  <c r="W60" i="33"/>
  <c r="V60" i="33"/>
  <c r="U60" i="33"/>
  <c r="T60" i="33"/>
  <c r="S60" i="33"/>
  <c r="R60" i="33"/>
  <c r="Q60" i="33"/>
  <c r="P60" i="33"/>
  <c r="O60" i="33"/>
  <c r="Z59" i="33"/>
  <c r="Y59" i="33"/>
  <c r="X59" i="33"/>
  <c r="W59" i="33"/>
  <c r="V59" i="33"/>
  <c r="U59" i="33"/>
  <c r="T59" i="33"/>
  <c r="S59" i="33"/>
  <c r="R59" i="33"/>
  <c r="Q59" i="33"/>
  <c r="P59" i="33"/>
  <c r="O59" i="33"/>
  <c r="Z58" i="33"/>
  <c r="Y58" i="33"/>
  <c r="X58" i="33"/>
  <c r="W58" i="33"/>
  <c r="V58" i="33"/>
  <c r="U58" i="33"/>
  <c r="T58" i="33"/>
  <c r="S58" i="33"/>
  <c r="R58" i="33"/>
  <c r="Q58" i="33"/>
  <c r="P58" i="33"/>
  <c r="O58" i="33"/>
  <c r="Z57" i="33"/>
  <c r="Y57" i="33"/>
  <c r="X57" i="33"/>
  <c r="W57" i="33"/>
  <c r="V57" i="33"/>
  <c r="U57" i="33"/>
  <c r="T57" i="33"/>
  <c r="S57" i="33"/>
  <c r="R57" i="33"/>
  <c r="Q57" i="33"/>
  <c r="P57" i="33"/>
  <c r="O57" i="33"/>
  <c r="Z56" i="33"/>
  <c r="Y56" i="33"/>
  <c r="X56" i="33"/>
  <c r="W56" i="33"/>
  <c r="V56" i="33"/>
  <c r="U56" i="33"/>
  <c r="T56" i="33"/>
  <c r="S56" i="33"/>
  <c r="R56" i="33"/>
  <c r="Q56" i="33"/>
  <c r="P56" i="33"/>
  <c r="O56" i="33"/>
  <c r="Z55" i="33"/>
  <c r="Y55" i="33"/>
  <c r="X55" i="33"/>
  <c r="W55" i="33"/>
  <c r="V55" i="33"/>
  <c r="U55" i="33"/>
  <c r="T55" i="33"/>
  <c r="S55" i="33"/>
  <c r="R55" i="33"/>
  <c r="Q55" i="33"/>
  <c r="P55" i="33"/>
  <c r="O55" i="33"/>
  <c r="Z54" i="33"/>
  <c r="Y54" i="33"/>
  <c r="X54" i="33"/>
  <c r="W54" i="33"/>
  <c r="V54" i="33"/>
  <c r="U54" i="33"/>
  <c r="T54" i="33"/>
  <c r="S54" i="33"/>
  <c r="R54" i="33"/>
  <c r="Q54" i="33"/>
  <c r="P54" i="33"/>
  <c r="O54" i="33"/>
  <c r="Z53" i="33"/>
  <c r="Y53" i="33"/>
  <c r="X53" i="33"/>
  <c r="W53" i="33"/>
  <c r="V53" i="33"/>
  <c r="U53" i="33"/>
  <c r="T53" i="33"/>
  <c r="S53" i="33"/>
  <c r="R53" i="33"/>
  <c r="Q53" i="33"/>
  <c r="P53" i="33"/>
  <c r="O53" i="33"/>
  <c r="Z52" i="33"/>
  <c r="Y52" i="33"/>
  <c r="X52" i="33"/>
  <c r="W52" i="33"/>
  <c r="V52" i="33"/>
  <c r="U52" i="33"/>
  <c r="T52" i="33"/>
  <c r="S52" i="33"/>
  <c r="R52" i="33"/>
  <c r="Q52" i="33"/>
  <c r="P52" i="33"/>
  <c r="O52" i="33"/>
  <c r="Z51" i="33"/>
  <c r="Y51" i="33"/>
  <c r="X51" i="33"/>
  <c r="W51" i="33"/>
  <c r="V51" i="33"/>
  <c r="U51" i="33"/>
  <c r="T51" i="33"/>
  <c r="S51" i="33"/>
  <c r="R51" i="33"/>
  <c r="Q51" i="33"/>
  <c r="P51" i="33"/>
  <c r="O51" i="33"/>
  <c r="Z50" i="33"/>
  <c r="Y50" i="33"/>
  <c r="X50" i="33"/>
  <c r="W50" i="33"/>
  <c r="V50" i="33"/>
  <c r="U50" i="33"/>
  <c r="T50" i="33"/>
  <c r="S50" i="33"/>
  <c r="R50" i="33"/>
  <c r="Q50" i="33"/>
  <c r="P50" i="33"/>
  <c r="O50" i="33"/>
  <c r="Z49" i="33"/>
  <c r="Y49" i="33"/>
  <c r="X49" i="33"/>
  <c r="W49" i="33"/>
  <c r="V49" i="33"/>
  <c r="U49" i="33"/>
  <c r="T49" i="33"/>
  <c r="S49" i="33"/>
  <c r="R49" i="33"/>
  <c r="Q49" i="33"/>
  <c r="P49" i="33"/>
  <c r="O49" i="33"/>
  <c r="Z48" i="33"/>
  <c r="Y48" i="33"/>
  <c r="X48" i="33"/>
  <c r="W48" i="33"/>
  <c r="V48" i="33"/>
  <c r="U48" i="33"/>
  <c r="T48" i="33"/>
  <c r="S48" i="33"/>
  <c r="R48" i="33"/>
  <c r="Q48" i="33"/>
  <c r="P48" i="33"/>
  <c r="O48" i="33"/>
  <c r="Z47" i="33"/>
  <c r="Y47" i="33"/>
  <c r="X47" i="33"/>
  <c r="W47" i="33"/>
  <c r="V47" i="33"/>
  <c r="U47" i="33"/>
  <c r="T47" i="33"/>
  <c r="S47" i="33"/>
  <c r="R47" i="33"/>
  <c r="Q47" i="33"/>
  <c r="P47" i="33"/>
  <c r="O47" i="33"/>
  <c r="Z46" i="33"/>
  <c r="Y46" i="33"/>
  <c r="X46" i="33"/>
  <c r="W46" i="33"/>
  <c r="V46" i="33"/>
  <c r="U46" i="33"/>
  <c r="T46" i="33"/>
  <c r="S46" i="33"/>
  <c r="R46" i="33"/>
  <c r="Q46" i="33"/>
  <c r="P46" i="33"/>
  <c r="O46" i="33"/>
  <c r="Z45" i="33"/>
  <c r="Y45" i="33"/>
  <c r="X45" i="33"/>
  <c r="W45" i="33"/>
  <c r="V45" i="33"/>
  <c r="U45" i="33"/>
  <c r="T45" i="33"/>
  <c r="S45" i="33"/>
  <c r="R45" i="33"/>
  <c r="Q45" i="33"/>
  <c r="P45" i="33"/>
  <c r="O45" i="33"/>
  <c r="Z44" i="33"/>
  <c r="Y44" i="33"/>
  <c r="X44" i="33"/>
  <c r="W44" i="33"/>
  <c r="V44" i="33"/>
  <c r="U44" i="33"/>
  <c r="T44" i="33"/>
  <c r="S44" i="33"/>
  <c r="R44" i="33"/>
  <c r="Q44" i="33"/>
  <c r="P44" i="33"/>
  <c r="O44" i="33"/>
  <c r="Z43" i="33"/>
  <c r="Y43" i="33"/>
  <c r="X43" i="33"/>
  <c r="W43" i="33"/>
  <c r="V43" i="33"/>
  <c r="U43" i="33"/>
  <c r="T43" i="33"/>
  <c r="S43" i="33"/>
  <c r="R43" i="33"/>
  <c r="Q43" i="33"/>
  <c r="P43" i="33"/>
  <c r="O43" i="33"/>
  <c r="Z42" i="33"/>
  <c r="Y42" i="33"/>
  <c r="X42" i="33"/>
  <c r="W42" i="33"/>
  <c r="V42" i="33"/>
  <c r="U42" i="33"/>
  <c r="T42" i="33"/>
  <c r="S42" i="33"/>
  <c r="R42" i="33"/>
  <c r="Q42" i="33"/>
  <c r="P42" i="33"/>
  <c r="O42" i="33"/>
  <c r="Z41" i="33"/>
  <c r="Y41" i="33"/>
  <c r="X41" i="33"/>
  <c r="W41" i="33"/>
  <c r="V41" i="33"/>
  <c r="U41" i="33"/>
  <c r="T41" i="33"/>
  <c r="S41" i="33"/>
  <c r="R41" i="33"/>
  <c r="Q41" i="33"/>
  <c r="P41" i="33"/>
  <c r="O41" i="33"/>
  <c r="Z40" i="33"/>
  <c r="Y40" i="33"/>
  <c r="X40" i="33"/>
  <c r="W40" i="33"/>
  <c r="V40" i="33"/>
  <c r="U40" i="33"/>
  <c r="T40" i="33"/>
  <c r="S40" i="33"/>
  <c r="R40" i="33"/>
  <c r="Q40" i="33"/>
  <c r="P40" i="33"/>
  <c r="O40" i="33"/>
  <c r="Z39" i="33"/>
  <c r="Y39" i="33"/>
  <c r="X39" i="33"/>
  <c r="W39" i="33"/>
  <c r="V39" i="33"/>
  <c r="U39" i="33"/>
  <c r="T39" i="33"/>
  <c r="S39" i="33"/>
  <c r="R39" i="33"/>
  <c r="Q39" i="33"/>
  <c r="P39" i="33"/>
  <c r="O39" i="33"/>
  <c r="Z38" i="33"/>
  <c r="Y38" i="33"/>
  <c r="X38" i="33"/>
  <c r="W38" i="33"/>
  <c r="V38" i="33"/>
  <c r="U38" i="33"/>
  <c r="T38" i="33"/>
  <c r="S38" i="33"/>
  <c r="R38" i="33"/>
  <c r="Q38" i="33"/>
  <c r="P38" i="33"/>
  <c r="O38" i="33"/>
  <c r="Z37" i="33"/>
  <c r="Y37" i="33"/>
  <c r="X37" i="33"/>
  <c r="W37" i="33"/>
  <c r="V37" i="33"/>
  <c r="U37" i="33"/>
  <c r="T37" i="33"/>
  <c r="S37" i="33"/>
  <c r="R37" i="33"/>
  <c r="Q37" i="33"/>
  <c r="P37" i="33"/>
  <c r="O37" i="33"/>
  <c r="Z36" i="33"/>
  <c r="Y36" i="33"/>
  <c r="X36" i="33"/>
  <c r="W36" i="33"/>
  <c r="V36" i="33"/>
  <c r="U36" i="33"/>
  <c r="T36" i="33"/>
  <c r="S36" i="33"/>
  <c r="R36" i="33"/>
  <c r="Q36" i="33"/>
  <c r="P36" i="33"/>
  <c r="O36" i="33"/>
  <c r="Z35" i="33"/>
  <c r="Y35" i="33"/>
  <c r="X35" i="33"/>
  <c r="W35" i="33"/>
  <c r="V35" i="33"/>
  <c r="U35" i="33"/>
  <c r="T35" i="33"/>
  <c r="S35" i="33"/>
  <c r="R35" i="33"/>
  <c r="Q35" i="33"/>
  <c r="P35" i="33"/>
  <c r="O35" i="33"/>
  <c r="Z34" i="33"/>
  <c r="Y34" i="33"/>
  <c r="X34" i="33"/>
  <c r="W34" i="33"/>
  <c r="V34" i="33"/>
  <c r="U34" i="33"/>
  <c r="T34" i="33"/>
  <c r="S34" i="33"/>
  <c r="R34" i="33"/>
  <c r="Q34" i="33"/>
  <c r="P34" i="33"/>
  <c r="O34" i="33"/>
  <c r="Z33" i="33"/>
  <c r="Y33" i="33"/>
  <c r="X33" i="33"/>
  <c r="W33" i="33"/>
  <c r="V33" i="33"/>
  <c r="U33" i="33"/>
  <c r="T33" i="33"/>
  <c r="S33" i="33"/>
  <c r="R33" i="33"/>
  <c r="Q33" i="33"/>
  <c r="P33" i="33"/>
  <c r="O33" i="33"/>
  <c r="Z32" i="33"/>
  <c r="Y32" i="33"/>
  <c r="X32" i="33"/>
  <c r="W32" i="33"/>
  <c r="V32" i="33"/>
  <c r="U32" i="33"/>
  <c r="T32" i="33"/>
  <c r="S32" i="33"/>
  <c r="R32" i="33"/>
  <c r="Q32" i="33"/>
  <c r="P32" i="33"/>
  <c r="O32" i="33"/>
  <c r="Z31" i="33"/>
  <c r="Y31" i="33"/>
  <c r="X31" i="33"/>
  <c r="W31" i="33"/>
  <c r="V31" i="33"/>
  <c r="U31" i="33"/>
  <c r="T31" i="33"/>
  <c r="S31" i="33"/>
  <c r="R31" i="33"/>
  <c r="Q31" i="33"/>
  <c r="P31" i="33"/>
  <c r="O31" i="33"/>
  <c r="Z30" i="33"/>
  <c r="Y30" i="33"/>
  <c r="X30" i="33"/>
  <c r="W30" i="33"/>
  <c r="V30" i="33"/>
  <c r="U30" i="33"/>
  <c r="T30" i="33"/>
  <c r="S30" i="33"/>
  <c r="R30" i="33"/>
  <c r="Q30" i="33"/>
  <c r="P30" i="33"/>
  <c r="O30" i="33"/>
  <c r="Z29" i="33"/>
  <c r="Y29" i="33"/>
  <c r="X29" i="33"/>
  <c r="W29" i="33"/>
  <c r="V29" i="33"/>
  <c r="U29" i="33"/>
  <c r="T29" i="33"/>
  <c r="S29" i="33"/>
  <c r="R29" i="33"/>
  <c r="Q29" i="33"/>
  <c r="P29" i="33"/>
  <c r="O29" i="33"/>
  <c r="Z28" i="33"/>
  <c r="Y28" i="33"/>
  <c r="X28" i="33"/>
  <c r="W28" i="33"/>
  <c r="V28" i="33"/>
  <c r="U28" i="33"/>
  <c r="T28" i="33"/>
  <c r="S28" i="33"/>
  <c r="R28" i="33"/>
  <c r="Q28" i="33"/>
  <c r="P28" i="33"/>
  <c r="O28" i="33"/>
  <c r="Z27" i="33"/>
  <c r="Y27" i="33"/>
  <c r="X27" i="33"/>
  <c r="W27" i="33"/>
  <c r="V27" i="33"/>
  <c r="U27" i="33"/>
  <c r="T27" i="33"/>
  <c r="S27" i="33"/>
  <c r="R27" i="33"/>
  <c r="Q27" i="33"/>
  <c r="P27" i="33"/>
  <c r="O27" i="33"/>
  <c r="Z26" i="33"/>
  <c r="Y26" i="33"/>
  <c r="X26" i="33"/>
  <c r="W26" i="33"/>
  <c r="V26" i="33"/>
  <c r="U26" i="33"/>
  <c r="T26" i="33"/>
  <c r="S26" i="33"/>
  <c r="R26" i="33"/>
  <c r="Q26" i="33"/>
  <c r="P26" i="33"/>
  <c r="O26" i="33"/>
  <c r="Z25" i="33"/>
  <c r="Y25" i="33"/>
  <c r="X25" i="33"/>
  <c r="W25" i="33"/>
  <c r="V25" i="33"/>
  <c r="U25" i="33"/>
  <c r="T25" i="33"/>
  <c r="S25" i="33"/>
  <c r="R25" i="33"/>
  <c r="Q25" i="33"/>
  <c r="P25" i="33"/>
  <c r="O25" i="33"/>
  <c r="Z24" i="33"/>
  <c r="Y24" i="33"/>
  <c r="X24" i="33"/>
  <c r="W24" i="33"/>
  <c r="V24" i="33"/>
  <c r="U24" i="33"/>
  <c r="T24" i="33"/>
  <c r="S24" i="33"/>
  <c r="R24" i="33"/>
  <c r="Q24" i="33"/>
  <c r="P24" i="33"/>
  <c r="O24" i="33"/>
  <c r="Z23" i="33"/>
  <c r="Y23" i="33"/>
  <c r="X23" i="33"/>
  <c r="W23" i="33"/>
  <c r="V23" i="33"/>
  <c r="U23" i="33"/>
  <c r="T23" i="33"/>
  <c r="S23" i="33"/>
  <c r="R23" i="33"/>
  <c r="Q23" i="33"/>
  <c r="P23" i="33"/>
  <c r="O23" i="33"/>
  <c r="Z22" i="33"/>
  <c r="Y22" i="33"/>
  <c r="X22" i="33"/>
  <c r="W22" i="33"/>
  <c r="V22" i="33"/>
  <c r="U22" i="33"/>
  <c r="T22" i="33"/>
  <c r="S22" i="33"/>
  <c r="R22" i="33"/>
  <c r="Q22" i="33"/>
  <c r="P22" i="33"/>
  <c r="O22" i="33"/>
  <c r="Z21" i="33"/>
  <c r="Y21" i="33"/>
  <c r="X21" i="33"/>
  <c r="W21" i="33"/>
  <c r="V21" i="33"/>
  <c r="U21" i="33"/>
  <c r="T21" i="33"/>
  <c r="S21" i="33"/>
  <c r="R21" i="33"/>
  <c r="Q21" i="33"/>
  <c r="P21" i="33"/>
  <c r="O21" i="33"/>
  <c r="Z20" i="33"/>
  <c r="Y20" i="33"/>
  <c r="X20" i="33"/>
  <c r="W20" i="33"/>
  <c r="V20" i="33"/>
  <c r="U20" i="33"/>
  <c r="T20" i="33"/>
  <c r="S20" i="33"/>
  <c r="R20" i="33"/>
  <c r="Q20" i="33"/>
  <c r="P20" i="33"/>
  <c r="O20" i="33"/>
  <c r="Z19" i="33"/>
  <c r="Y19" i="33"/>
  <c r="X19" i="33"/>
  <c r="W19" i="33"/>
  <c r="V19" i="33"/>
  <c r="U19" i="33"/>
  <c r="T19" i="33"/>
  <c r="S19" i="33"/>
  <c r="R19" i="33"/>
  <c r="Q19" i="33"/>
  <c r="P19" i="33"/>
  <c r="O19" i="33"/>
  <c r="F7" i="33"/>
  <c r="C7" i="33"/>
  <c r="E5" i="33"/>
  <c r="E3" i="33" s="1"/>
  <c r="F3" i="33"/>
  <c r="C3" i="33"/>
  <c r="B3" i="33"/>
  <c r="F2" i="33"/>
  <c r="C2" i="33"/>
  <c r="C4" i="33" s="1"/>
  <c r="B2" i="33"/>
  <c r="H5" i="25"/>
  <c r="H5" i="32" s="1"/>
  <c r="H4" i="25"/>
  <c r="H4" i="32" s="1"/>
  <c r="B6" i="25"/>
  <c r="B6" i="32" s="1"/>
  <c r="B4" i="25"/>
  <c r="B4" i="32" s="1"/>
  <c r="B3" i="25"/>
  <c r="B3" i="32" s="1"/>
  <c r="H5" i="4"/>
  <c r="H4" i="4"/>
  <c r="B6" i="4"/>
  <c r="B4" i="4"/>
  <c r="B3" i="4"/>
  <c r="C21" i="32"/>
  <c r="E23" i="25"/>
  <c r="C23" i="25"/>
  <c r="B23" i="25"/>
  <c r="D23" i="25" s="1"/>
  <c r="A23" i="25"/>
  <c r="E178" i="25"/>
  <c r="E163" i="25"/>
  <c r="E20" i="25"/>
  <c r="C20" i="25"/>
  <c r="B20" i="25"/>
  <c r="D20" i="25" s="1"/>
  <c r="A20" i="25"/>
  <c r="B5" i="32"/>
  <c r="C11" i="33" l="1"/>
  <c r="P13" i="33"/>
  <c r="AC15" i="33"/>
  <c r="AD15" i="33" s="1"/>
  <c r="Q14" i="33"/>
  <c r="Q12" i="33" s="1"/>
  <c r="J14" i="33"/>
  <c r="J12" i="33" s="1"/>
  <c r="P15" i="33"/>
  <c r="V15" i="33"/>
  <c r="E2" i="33"/>
  <c r="E4" i="33" s="1"/>
  <c r="F4" i="33"/>
  <c r="B4" i="33"/>
  <c r="G54" i="33" s="1"/>
  <c r="H54" i="33" s="1"/>
  <c r="I54" i="33" s="1"/>
  <c r="J54" i="33" s="1"/>
  <c r="K54" i="33" s="1"/>
  <c r="L54" i="33" s="1"/>
  <c r="M54" i="33" s="1"/>
  <c r="B55" i="33" s="1"/>
  <c r="C55" i="33" s="1"/>
  <c r="D55" i="33" s="1"/>
  <c r="E55" i="33" s="1"/>
  <c r="F55" i="33" s="1"/>
  <c r="G55" i="33" s="1"/>
  <c r="H55" i="33" s="1"/>
  <c r="I55" i="33" s="1"/>
  <c r="J55" i="33" s="1"/>
  <c r="K55" i="33" s="1"/>
  <c r="L55" i="33" s="1"/>
  <c r="M55" i="33" s="1"/>
  <c r="B56" i="33" s="1"/>
  <c r="C56" i="33" s="1"/>
  <c r="D56" i="33" s="1"/>
  <c r="E56" i="33" s="1"/>
  <c r="F56" i="33" s="1"/>
  <c r="G56" i="33" s="1"/>
  <c r="H56" i="33" s="1"/>
  <c r="I56" i="33" s="1"/>
  <c r="J56" i="33" s="1"/>
  <c r="K56" i="33" s="1"/>
  <c r="L56" i="33" s="1"/>
  <c r="M56" i="33" s="1"/>
  <c r="B57" i="33" s="1"/>
  <c r="D12" i="33"/>
  <c r="D13" i="33" s="1"/>
  <c r="W14" i="33"/>
  <c r="G20" i="25"/>
  <c r="C12" i="33"/>
  <c r="C13" i="33" s="1"/>
  <c r="I12" i="33"/>
  <c r="G23" i="25"/>
  <c r="Q11" i="33" l="1"/>
  <c r="AE15" i="33"/>
  <c r="E37" i="20" s="1"/>
  <c r="J11" i="33"/>
  <c r="J13" i="33" s="1"/>
  <c r="D15" i="20"/>
  <c r="D27" i="20"/>
  <c r="D30" i="20"/>
  <c r="D35" i="20"/>
  <c r="D12" i="20"/>
  <c r="D41" i="20"/>
  <c r="E18" i="20"/>
  <c r="D51" i="20"/>
  <c r="D34" i="20"/>
  <c r="E16" i="20"/>
  <c r="D21" i="20"/>
  <c r="E30" i="20"/>
  <c r="E24" i="20"/>
  <c r="C57" i="33"/>
  <c r="D57" i="33" s="1"/>
  <c r="E57" i="33" s="1"/>
  <c r="F57" i="33" s="1"/>
  <c r="G57" i="33" s="1"/>
  <c r="H57" i="33" s="1"/>
  <c r="I57" i="33" s="1"/>
  <c r="J57" i="33" s="1"/>
  <c r="K57" i="33" s="1"/>
  <c r="L57" i="33" s="1"/>
  <c r="M57" i="33" s="1"/>
  <c r="E15" i="20"/>
  <c r="D50" i="20"/>
  <c r="D40" i="20"/>
  <c r="D7" i="20"/>
  <c r="E29" i="20"/>
  <c r="E28" i="20"/>
  <c r="D46" i="20"/>
  <c r="D24" i="20"/>
  <c r="D17" i="20"/>
  <c r="E31" i="20"/>
  <c r="D29" i="20"/>
  <c r="D19" i="20"/>
  <c r="D43" i="20"/>
  <c r="C15" i="33"/>
  <c r="I11" i="33"/>
  <c r="W12" i="33"/>
  <c r="W11" i="33"/>
  <c r="Q13" i="33"/>
  <c r="Q15" i="33"/>
  <c r="D5" i="20" l="1"/>
  <c r="E7" i="20"/>
  <c r="D52" i="20"/>
  <c r="E12" i="20"/>
  <c r="D13" i="20"/>
  <c r="E35" i="20"/>
  <c r="E43" i="20"/>
  <c r="E27" i="20"/>
  <c r="E41" i="20"/>
  <c r="E25" i="20"/>
  <c r="E47" i="20"/>
  <c r="D16" i="20"/>
  <c r="E4" i="20"/>
  <c r="E51" i="20"/>
  <c r="E5" i="20"/>
  <c r="E52" i="20"/>
  <c r="D31" i="20"/>
  <c r="E40" i="20"/>
  <c r="E19" i="20"/>
  <c r="E13" i="20"/>
  <c r="B58" i="33"/>
  <c r="C58" i="33" s="1"/>
  <c r="D58" i="33" s="1"/>
  <c r="E58" i="33" s="1"/>
  <c r="F58" i="33" s="1"/>
  <c r="G58" i="33" s="1"/>
  <c r="H58" i="33" s="1"/>
  <c r="J15" i="33" s="1"/>
  <c r="G10" i="35"/>
  <c r="H11" i="35" s="1"/>
  <c r="H12" i="35" s="1"/>
  <c r="E34" i="20"/>
  <c r="J7" i="33"/>
  <c r="D28" i="20"/>
  <c r="E14" i="20"/>
  <c r="D18" i="20"/>
  <c r="E21" i="20"/>
  <c r="E9" i="20"/>
  <c r="E50" i="20"/>
  <c r="D4" i="20"/>
  <c r="E46" i="20"/>
  <c r="D14" i="20"/>
  <c r="D37" i="20"/>
  <c r="E17" i="20"/>
  <c r="D47" i="20"/>
  <c r="D25" i="20"/>
  <c r="D9" i="20"/>
  <c r="G9" i="25"/>
  <c r="I13" i="33"/>
  <c r="I15" i="33"/>
  <c r="W13" i="33"/>
  <c r="W15" i="33"/>
  <c r="R15" i="33"/>
  <c r="S15" i="33"/>
  <c r="G10" i="2" l="1"/>
  <c r="D15" i="33"/>
  <c r="E15" i="33" s="1"/>
  <c r="I58" i="33"/>
  <c r="J58" i="33" s="1"/>
  <c r="K58" i="33" s="1"/>
  <c r="L58" i="33" s="1"/>
  <c r="M58" i="33" s="1"/>
  <c r="B59" i="33" s="1"/>
  <c r="C59" i="33" s="1"/>
  <c r="D59" i="33" s="1"/>
  <c r="E59" i="33" s="1"/>
  <c r="F59" i="33" s="1"/>
  <c r="G59" i="33" s="1"/>
  <c r="H59" i="33" s="1"/>
  <c r="I59" i="33" s="1"/>
  <c r="J59" i="33" s="1"/>
  <c r="K59" i="33" s="1"/>
  <c r="L59" i="33" s="1"/>
  <c r="M59" i="33" s="1"/>
  <c r="B60" i="33" s="1"/>
  <c r="C60" i="33" s="1"/>
  <c r="D60" i="33" s="1"/>
  <c r="E60" i="33" s="1"/>
  <c r="F60" i="33" s="1"/>
  <c r="G60" i="33" s="1"/>
  <c r="H60" i="33" s="1"/>
  <c r="I60" i="33" s="1"/>
  <c r="J60" i="33" s="1"/>
  <c r="K60" i="33" s="1"/>
  <c r="L60" i="33" s="1"/>
  <c r="M60" i="33" s="1"/>
  <c r="B61" i="33" s="1"/>
  <c r="C61" i="33" s="1"/>
  <c r="D61" i="33" s="1"/>
  <c r="E61" i="33" s="1"/>
  <c r="F61" i="33" s="1"/>
  <c r="G61" i="33" s="1"/>
  <c r="H61" i="33" s="1"/>
  <c r="I61" i="33" s="1"/>
  <c r="J61" i="33" s="1"/>
  <c r="K61" i="33" s="1"/>
  <c r="L61" i="33" s="1"/>
  <c r="M61" i="33" s="1"/>
  <c r="B62" i="33" s="1"/>
  <c r="C62" i="33" s="1"/>
  <c r="D62" i="33" s="1"/>
  <c r="E62" i="33" s="1"/>
  <c r="F62" i="33" s="1"/>
  <c r="G62" i="33" s="1"/>
  <c r="H62" i="33" s="1"/>
  <c r="I62" i="33" s="1"/>
  <c r="J62" i="33" s="1"/>
  <c r="K62" i="33" s="1"/>
  <c r="L62" i="33" s="1"/>
  <c r="M62" i="33" s="1"/>
  <c r="B63" i="33" s="1"/>
  <c r="C63" i="33" s="1"/>
  <c r="D63" i="33" s="1"/>
  <c r="E63" i="33" s="1"/>
  <c r="F63" i="33" s="1"/>
  <c r="G63" i="33" s="1"/>
  <c r="H63" i="33" s="1"/>
  <c r="I63" i="33" s="1"/>
  <c r="J63" i="33" s="1"/>
  <c r="K63" i="33" s="1"/>
  <c r="L63" i="33" s="1"/>
  <c r="M63" i="33" s="1"/>
  <c r="B64" i="33" s="1"/>
  <c r="C64" i="33" s="1"/>
  <c r="D64" i="33" s="1"/>
  <c r="E64" i="33" s="1"/>
  <c r="F64" i="33" s="1"/>
  <c r="G64" i="33" s="1"/>
  <c r="H64" i="33" s="1"/>
  <c r="I64" i="33" s="1"/>
  <c r="J64" i="33" s="1"/>
  <c r="K64" i="33" s="1"/>
  <c r="L64" i="33" s="1"/>
  <c r="M64" i="33" s="1"/>
  <c r="B65" i="33" s="1"/>
  <c r="C65" i="33" s="1"/>
  <c r="D65" i="33" s="1"/>
  <c r="E65" i="33" s="1"/>
  <c r="F65" i="33" s="1"/>
  <c r="G65" i="33" s="1"/>
  <c r="H65" i="33" s="1"/>
  <c r="I65" i="33" s="1"/>
  <c r="J65" i="33" s="1"/>
  <c r="K65" i="33" s="1"/>
  <c r="L65" i="33" s="1"/>
  <c r="M65" i="33" s="1"/>
  <c r="B66" i="33" s="1"/>
  <c r="C66" i="33" s="1"/>
  <c r="D66" i="33" s="1"/>
  <c r="E66" i="33" s="1"/>
  <c r="F66" i="33" s="1"/>
  <c r="G66" i="33" s="1"/>
  <c r="H66" i="33" s="1"/>
  <c r="I66" i="33" s="1"/>
  <c r="J66" i="33" s="1"/>
  <c r="K66" i="33" s="1"/>
  <c r="L66" i="33" s="1"/>
  <c r="M66" i="33" s="1"/>
  <c r="B67" i="33" s="1"/>
  <c r="C67" i="33" s="1"/>
  <c r="D67" i="33" s="1"/>
  <c r="E67" i="33" s="1"/>
  <c r="F67" i="33" s="1"/>
  <c r="G67" i="33" s="1"/>
  <c r="H67" i="33" s="1"/>
  <c r="I67" i="33" s="1"/>
  <c r="J67" i="33" s="1"/>
  <c r="K67" i="33" s="1"/>
  <c r="L67" i="33" s="1"/>
  <c r="M67" i="33" s="1"/>
  <c r="B68" i="33" s="1"/>
  <c r="C68" i="33" s="1"/>
  <c r="D68" i="33" s="1"/>
  <c r="E68" i="33" s="1"/>
  <c r="F68" i="33" s="1"/>
  <c r="G68" i="33" s="1"/>
  <c r="H68" i="33" s="1"/>
  <c r="I68" i="33" s="1"/>
  <c r="J68" i="33" s="1"/>
  <c r="K68" i="33" s="1"/>
  <c r="L68" i="33" s="1"/>
  <c r="M68" i="33" s="1"/>
  <c r="B69" i="33" s="1"/>
  <c r="C69" i="33" s="1"/>
  <c r="D69" i="33" s="1"/>
  <c r="E69" i="33" s="1"/>
  <c r="F69" i="33" s="1"/>
  <c r="G69" i="33" s="1"/>
  <c r="H69" i="33" s="1"/>
  <c r="I69" i="33" s="1"/>
  <c r="J69" i="33" s="1"/>
  <c r="K69" i="33" s="1"/>
  <c r="L69" i="33" s="1"/>
  <c r="M69" i="33" s="1"/>
  <c r="B70" i="33" s="1"/>
  <c r="C70" i="33" s="1"/>
  <c r="D70" i="33" s="1"/>
  <c r="E70" i="33" s="1"/>
  <c r="F70" i="33" s="1"/>
  <c r="G70" i="33" s="1"/>
  <c r="H70" i="33" s="1"/>
  <c r="I70" i="33" s="1"/>
  <c r="J70" i="33" s="1"/>
  <c r="K70" i="33" s="1"/>
  <c r="L70" i="33" s="1"/>
  <c r="M70" i="33" s="1"/>
  <c r="B71" i="33" s="1"/>
  <c r="C71" i="33" s="1"/>
  <c r="D71" i="33" s="1"/>
  <c r="E71" i="33" s="1"/>
  <c r="F71" i="33" s="1"/>
  <c r="G71" i="33" s="1"/>
  <c r="H71" i="33" s="1"/>
  <c r="I71" i="33" s="1"/>
  <c r="J71" i="33" s="1"/>
  <c r="K71" i="33" s="1"/>
  <c r="L71" i="33" s="1"/>
  <c r="M71" i="33" s="1"/>
  <c r="B72" i="33" s="1"/>
  <c r="C72" i="33" s="1"/>
  <c r="D72" i="33" s="1"/>
  <c r="E72" i="33" s="1"/>
  <c r="F72" i="33" s="1"/>
  <c r="G72" i="33" s="1"/>
  <c r="H72" i="33" s="1"/>
  <c r="I72" i="33" s="1"/>
  <c r="J72" i="33" s="1"/>
  <c r="K72" i="33" s="1"/>
  <c r="L72" i="33" s="1"/>
  <c r="M72" i="33" s="1"/>
  <c r="B73" i="33" s="1"/>
  <c r="C73" i="33" s="1"/>
  <c r="D73" i="33" s="1"/>
  <c r="E73" i="33" s="1"/>
  <c r="F73" i="33" s="1"/>
  <c r="G73" i="33" s="1"/>
  <c r="H73" i="33" s="1"/>
  <c r="I73" i="33" s="1"/>
  <c r="J73" i="33" s="1"/>
  <c r="K73" i="33" s="1"/>
  <c r="L73" i="33" s="1"/>
  <c r="M73" i="33" s="1"/>
  <c r="B74" i="33" s="1"/>
  <c r="C74" i="33" s="1"/>
  <c r="D74" i="33" s="1"/>
  <c r="E74" i="33" s="1"/>
  <c r="F74" i="33" s="1"/>
  <c r="G74" i="33" s="1"/>
  <c r="H74" i="33" s="1"/>
  <c r="I74" i="33" s="1"/>
  <c r="J74" i="33" s="1"/>
  <c r="K74" i="33" s="1"/>
  <c r="L74" i="33" s="1"/>
  <c r="M74" i="33" s="1"/>
  <c r="B75" i="33" s="1"/>
  <c r="C75" i="33" s="1"/>
  <c r="D75" i="33" s="1"/>
  <c r="E75" i="33" s="1"/>
  <c r="F75" i="33" s="1"/>
  <c r="G75" i="33" s="1"/>
  <c r="H75" i="33" s="1"/>
  <c r="I75" i="33" s="1"/>
  <c r="J75" i="33" s="1"/>
  <c r="K75" i="33" s="1"/>
  <c r="L75" i="33" s="1"/>
  <c r="M75" i="33" s="1"/>
  <c r="B76" i="33" s="1"/>
  <c r="C76" i="33" s="1"/>
  <c r="D76" i="33" s="1"/>
  <c r="E76" i="33" s="1"/>
  <c r="F76" i="33" s="1"/>
  <c r="G76" i="33" s="1"/>
  <c r="H76" i="33" s="1"/>
  <c r="I76" i="33" s="1"/>
  <c r="J76" i="33" s="1"/>
  <c r="K76" i="33" s="1"/>
  <c r="L76" i="33" s="1"/>
  <c r="M76" i="33" s="1"/>
  <c r="B77" i="33" s="1"/>
  <c r="C77" i="33" s="1"/>
  <c r="D77" i="33" s="1"/>
  <c r="E77" i="33" s="1"/>
  <c r="F77" i="33" s="1"/>
  <c r="G77" i="33" s="1"/>
  <c r="H77" i="33" s="1"/>
  <c r="I77" i="33" s="1"/>
  <c r="J77" i="33" s="1"/>
  <c r="K77" i="33" s="1"/>
  <c r="L77" i="33" s="1"/>
  <c r="M77" i="33" s="1"/>
  <c r="B78" i="33" s="1"/>
  <c r="C78" i="33" s="1"/>
  <c r="D78" i="33" s="1"/>
  <c r="E78" i="33" s="1"/>
  <c r="F78" i="33" s="1"/>
  <c r="G78" i="33" s="1"/>
  <c r="H78" i="33" s="1"/>
  <c r="I78" i="33" s="1"/>
  <c r="J78" i="33" s="1"/>
  <c r="K78" i="33" s="1"/>
  <c r="L78" i="33" s="1"/>
  <c r="M78" i="33" s="1"/>
  <c r="B79" i="33" s="1"/>
  <c r="C79" i="33" s="1"/>
  <c r="D79" i="33" s="1"/>
  <c r="E79" i="33" s="1"/>
  <c r="F79" i="33" s="1"/>
  <c r="G79" i="33" s="1"/>
  <c r="H79" i="33" s="1"/>
  <c r="I79" i="33" s="1"/>
  <c r="J79" i="33" s="1"/>
  <c r="K79" i="33" s="1"/>
  <c r="L79" i="33" s="1"/>
  <c r="M79" i="33" s="1"/>
  <c r="B80" i="33" s="1"/>
  <c r="C80" i="33" s="1"/>
  <c r="D80" i="33" s="1"/>
  <c r="E80" i="33" s="1"/>
  <c r="F80" i="33" s="1"/>
  <c r="G80" i="33" s="1"/>
  <c r="H80" i="33" s="1"/>
  <c r="I80" i="33" s="1"/>
  <c r="J80" i="33" s="1"/>
  <c r="K80" i="33" s="1"/>
  <c r="L80" i="33" s="1"/>
  <c r="M80" i="33" s="1"/>
  <c r="B81" i="33" s="1"/>
  <c r="C81" i="33" s="1"/>
  <c r="D81" i="33" s="1"/>
  <c r="E81" i="33" s="1"/>
  <c r="F81" i="33" s="1"/>
  <c r="G81" i="33" s="1"/>
  <c r="H81" i="33" s="1"/>
  <c r="I81" i="33" s="1"/>
  <c r="J81" i="33" s="1"/>
  <c r="K81" i="33" s="1"/>
  <c r="L81" i="33" s="1"/>
  <c r="M81" i="33" s="1"/>
  <c r="B82" i="33" s="1"/>
  <c r="C82" i="33" s="1"/>
  <c r="D82" i="33" s="1"/>
  <c r="E82" i="33" s="1"/>
  <c r="F82" i="33" s="1"/>
  <c r="G82" i="33" s="1"/>
  <c r="H82" i="33" s="1"/>
  <c r="I82" i="33" s="1"/>
  <c r="J82" i="33" s="1"/>
  <c r="K82" i="33" s="1"/>
  <c r="L82" i="33" s="1"/>
  <c r="M82" i="33" s="1"/>
  <c r="B83" i="33" s="1"/>
  <c r="C83" i="33" s="1"/>
  <c r="D83" i="33" s="1"/>
  <c r="E83" i="33" s="1"/>
  <c r="F83" i="33" s="1"/>
  <c r="G83" i="33" s="1"/>
  <c r="H83" i="33" s="1"/>
  <c r="I83" i="33" s="1"/>
  <c r="J83" i="33" s="1"/>
  <c r="K83" i="33" s="1"/>
  <c r="L83" i="33" s="1"/>
  <c r="M83" i="33" s="1"/>
  <c r="B84" i="33" s="1"/>
  <c r="C84" i="33" s="1"/>
  <c r="D84" i="33" s="1"/>
  <c r="E84" i="33" s="1"/>
  <c r="F84" i="33" s="1"/>
  <c r="G84" i="33" s="1"/>
  <c r="H84" i="33" s="1"/>
  <c r="I84" i="33" s="1"/>
  <c r="J84" i="33" s="1"/>
  <c r="K84" i="33" s="1"/>
  <c r="L84" i="33" s="1"/>
  <c r="M84" i="33" s="1"/>
  <c r="B85" i="33" s="1"/>
  <c r="C85" i="33" s="1"/>
  <c r="D85" i="33" s="1"/>
  <c r="E85" i="33" s="1"/>
  <c r="F85" i="33" s="1"/>
  <c r="G85" i="33" s="1"/>
  <c r="H85" i="33" s="1"/>
  <c r="I85" i="33" s="1"/>
  <c r="J85" i="33" s="1"/>
  <c r="K85" i="33" s="1"/>
  <c r="L85" i="33" s="1"/>
  <c r="M85" i="33" s="1"/>
  <c r="B86" i="33" s="1"/>
  <c r="C86" i="33" s="1"/>
  <c r="D86" i="33" s="1"/>
  <c r="E86" i="33" s="1"/>
  <c r="F86" i="33" s="1"/>
  <c r="G86" i="33" s="1"/>
  <c r="H86" i="33" s="1"/>
  <c r="I86" i="33" s="1"/>
  <c r="J86" i="33" s="1"/>
  <c r="K86" i="33" s="1"/>
  <c r="L86" i="33" s="1"/>
  <c r="M86" i="33" s="1"/>
  <c r="B87" i="33" s="1"/>
  <c r="C87" i="33" s="1"/>
  <c r="D87" i="33" s="1"/>
  <c r="E87" i="33" s="1"/>
  <c r="F87" i="33" s="1"/>
  <c r="G87" i="33" s="1"/>
  <c r="H87" i="33" s="1"/>
  <c r="I87" i="33" s="1"/>
  <c r="J87" i="33" s="1"/>
  <c r="K87" i="33" s="1"/>
  <c r="L87" i="33" s="1"/>
  <c r="M87" i="33" s="1"/>
  <c r="B88" i="33" s="1"/>
  <c r="C88" i="33" s="1"/>
  <c r="D88" i="33" s="1"/>
  <c r="E88" i="33" s="1"/>
  <c r="F88" i="33" s="1"/>
  <c r="G88" i="33" s="1"/>
  <c r="H88" i="33" s="1"/>
  <c r="I88" i="33" s="1"/>
  <c r="J88" i="33" s="1"/>
  <c r="K88" i="33" s="1"/>
  <c r="L88" i="33" s="1"/>
  <c r="M88" i="33" s="1"/>
  <c r="B89" i="33" s="1"/>
  <c r="C89" i="33" s="1"/>
  <c r="D89" i="33" s="1"/>
  <c r="E89" i="33" s="1"/>
  <c r="F89" i="33" s="1"/>
  <c r="G89" i="33" s="1"/>
  <c r="H89" i="33" s="1"/>
  <c r="I89" i="33" s="1"/>
  <c r="J89" i="33" s="1"/>
  <c r="K89" i="33" s="1"/>
  <c r="L89" i="33" s="1"/>
  <c r="M89" i="33" s="1"/>
  <c r="B90" i="33" s="1"/>
  <c r="C90" i="33" s="1"/>
  <c r="D90" i="33" s="1"/>
  <c r="E90" i="33" s="1"/>
  <c r="F90" i="33" s="1"/>
  <c r="G90" i="33" s="1"/>
  <c r="H90" i="33" s="1"/>
  <c r="I90" i="33" s="1"/>
  <c r="J90" i="33" s="1"/>
  <c r="K90" i="33" s="1"/>
  <c r="L90" i="33" s="1"/>
  <c r="M90" i="33" s="1"/>
  <c r="B91" i="33" s="1"/>
  <c r="C91" i="33" s="1"/>
  <c r="D91" i="33" s="1"/>
  <c r="E91" i="33" s="1"/>
  <c r="F91" i="33" s="1"/>
  <c r="G91" i="33" s="1"/>
  <c r="H91" i="33" s="1"/>
  <c r="I91" i="33" s="1"/>
  <c r="J91" i="33" s="1"/>
  <c r="K91" i="33" s="1"/>
  <c r="L91" i="33" s="1"/>
  <c r="M91" i="33" s="1"/>
  <c r="B92" i="33" s="1"/>
  <c r="C92" i="33" s="1"/>
  <c r="D92" i="33" s="1"/>
  <c r="E92" i="33" s="1"/>
  <c r="F92" i="33" s="1"/>
  <c r="G92" i="33" s="1"/>
  <c r="H92" i="33" s="1"/>
  <c r="I92" i="33" s="1"/>
  <c r="J92" i="33" s="1"/>
  <c r="K92" i="33" s="1"/>
  <c r="L92" i="33" s="1"/>
  <c r="M92" i="33" s="1"/>
  <c r="B93" i="33" s="1"/>
  <c r="C93" i="33" s="1"/>
  <c r="D93" i="33" s="1"/>
  <c r="E93" i="33" s="1"/>
  <c r="F93" i="33" s="1"/>
  <c r="G93" i="33" s="1"/>
  <c r="H93" i="33" s="1"/>
  <c r="I93" i="33" s="1"/>
  <c r="J93" i="33" s="1"/>
  <c r="K93" i="33" s="1"/>
  <c r="L93" i="33" s="1"/>
  <c r="M93" i="33" s="1"/>
  <c r="B94" i="33" s="1"/>
  <c r="C94" i="33" s="1"/>
  <c r="D94" i="33" s="1"/>
  <c r="E94" i="33" s="1"/>
  <c r="F94" i="33" s="1"/>
  <c r="G94" i="33" s="1"/>
  <c r="H94" i="33" s="1"/>
  <c r="I94" i="33" s="1"/>
  <c r="J94" i="33" s="1"/>
  <c r="K94" i="33" s="1"/>
  <c r="L94" i="33" s="1"/>
  <c r="M94" i="33" s="1"/>
  <c r="B95" i="33" s="1"/>
  <c r="C95" i="33" s="1"/>
  <c r="D95" i="33" s="1"/>
  <c r="E95" i="33" s="1"/>
  <c r="F95" i="33" s="1"/>
  <c r="G95" i="33" s="1"/>
  <c r="H95" i="33" s="1"/>
  <c r="I95" i="33" s="1"/>
  <c r="J95" i="33" s="1"/>
  <c r="K95" i="33" s="1"/>
  <c r="L95" i="33" s="1"/>
  <c r="M95" i="33" s="1"/>
  <c r="B96" i="33" s="1"/>
  <c r="C96" i="33" s="1"/>
  <c r="D96" i="33" s="1"/>
  <c r="E96" i="33" s="1"/>
  <c r="F96" i="33" s="1"/>
  <c r="G96" i="33" s="1"/>
  <c r="H96" i="33" s="1"/>
  <c r="I96" i="33" s="1"/>
  <c r="J96" i="33" s="1"/>
  <c r="K96" i="33" s="1"/>
  <c r="L96" i="33" s="1"/>
  <c r="M96" i="33" s="1"/>
  <c r="B97" i="33" s="1"/>
  <c r="C97" i="33" s="1"/>
  <c r="D97" i="33" s="1"/>
  <c r="E97" i="33" s="1"/>
  <c r="F97" i="33" s="1"/>
  <c r="G97" i="33" s="1"/>
  <c r="H97" i="33" s="1"/>
  <c r="I97" i="33" s="1"/>
  <c r="J97" i="33" s="1"/>
  <c r="K97" i="33" s="1"/>
  <c r="L97" i="33" s="1"/>
  <c r="M97" i="33" s="1"/>
  <c r="B98" i="33" s="1"/>
  <c r="C98" i="33" s="1"/>
  <c r="D98" i="33" s="1"/>
  <c r="E98" i="33" s="1"/>
  <c r="F98" i="33" s="1"/>
  <c r="G98" i="33" s="1"/>
  <c r="H98" i="33" s="1"/>
  <c r="I98" i="33" s="1"/>
  <c r="J98" i="33" s="1"/>
  <c r="K98" i="33" s="1"/>
  <c r="L98" i="33" s="1"/>
  <c r="M98" i="33" s="1"/>
  <c r="B99" i="33" s="1"/>
  <c r="C99" i="33" s="1"/>
  <c r="D99" i="33" s="1"/>
  <c r="E99" i="33" s="1"/>
  <c r="F99" i="33" s="1"/>
  <c r="G99" i="33" s="1"/>
  <c r="H99" i="33" s="1"/>
  <c r="I99" i="33" s="1"/>
  <c r="J99" i="33" s="1"/>
  <c r="K99" i="33" s="1"/>
  <c r="L99" i="33" s="1"/>
  <c r="M99" i="33" s="1"/>
  <c r="F41" i="35"/>
  <c r="F47" i="35"/>
  <c r="F57" i="35"/>
  <c r="E57" i="35" s="1"/>
  <c r="G57" i="35" s="1"/>
  <c r="F44" i="35"/>
  <c r="E44" i="35" s="1"/>
  <c r="G44" i="35" s="1"/>
  <c r="F43" i="35"/>
  <c r="E43" i="35" s="1"/>
  <c r="G43" i="35" s="1"/>
  <c r="F42" i="35"/>
  <c r="E42" i="35" s="1"/>
  <c r="G42" i="35" s="1"/>
  <c r="F49" i="35"/>
  <c r="E49" i="35" s="1"/>
  <c r="G49" i="35" s="1"/>
  <c r="F55" i="35"/>
  <c r="E55" i="35" s="1"/>
  <c r="G55" i="35" s="1"/>
  <c r="F53" i="35"/>
  <c r="E53" i="35" s="1"/>
  <c r="G53" i="35" s="1"/>
  <c r="F48" i="35"/>
  <c r="E48" i="35" s="1"/>
  <c r="G48" i="35" s="1"/>
  <c r="F52" i="35"/>
  <c r="E52" i="35" s="1"/>
  <c r="G52" i="35" s="1"/>
  <c r="F51" i="35"/>
  <c r="E51" i="35" s="1"/>
  <c r="G51" i="35" s="1"/>
  <c r="F46" i="35"/>
  <c r="E46" i="35" s="1"/>
  <c r="G46" i="35" s="1"/>
  <c r="F56" i="35"/>
  <c r="E56" i="35" s="1"/>
  <c r="G56" i="35" s="1"/>
  <c r="H13" i="35"/>
  <c r="C135" i="35"/>
  <c r="E12" i="35"/>
  <c r="G10" i="25"/>
  <c r="H11" i="2"/>
  <c r="F15" i="33"/>
  <c r="L14" i="33"/>
  <c r="L15" i="33" s="1"/>
  <c r="F42" i="2"/>
  <c r="F57" i="25"/>
  <c r="F55" i="25"/>
  <c r="F56" i="25"/>
  <c r="F53" i="25"/>
  <c r="F43" i="25"/>
  <c r="F52" i="25"/>
  <c r="F47" i="25"/>
  <c r="F51" i="25"/>
  <c r="F49" i="25"/>
  <c r="F44" i="25"/>
  <c r="F42" i="25"/>
  <c r="F48" i="25"/>
  <c r="F46" i="25"/>
  <c r="F41" i="25"/>
  <c r="F41" i="2"/>
  <c r="E41" i="2" s="1"/>
  <c r="F46" i="2"/>
  <c r="F48" i="2"/>
  <c r="F51" i="2"/>
  <c r="F53" i="2"/>
  <c r="X15" i="33"/>
  <c r="Y15" i="33"/>
  <c r="G67" i="35" s="1"/>
  <c r="H67" i="35" s="1"/>
  <c r="F49" i="2"/>
  <c r="F52" i="2"/>
  <c r="F43" i="2"/>
  <c r="F57" i="2"/>
  <c r="K15" i="33"/>
  <c r="F47" i="2"/>
  <c r="E47" i="2" s="1"/>
  <c r="F44" i="2"/>
  <c r="F55" i="2"/>
  <c r="F56" i="2"/>
  <c r="G58" i="35" l="1"/>
  <c r="E126" i="35"/>
  <c r="H115" i="35"/>
  <c r="G67" i="2"/>
  <c r="H59" i="35" l="1"/>
  <c r="H61" i="35" s="1"/>
  <c r="G59" i="35"/>
  <c r="H67" i="2"/>
  <c r="G67" i="25"/>
  <c r="H63" i="35" l="1"/>
  <c r="H117" i="35" s="1"/>
  <c r="E125" i="35"/>
  <c r="I31" i="4"/>
  <c r="I30" i="4"/>
  <c r="I29" i="4"/>
  <c r="I28" i="4"/>
  <c r="J27" i="4"/>
  <c r="J25" i="4"/>
  <c r="I26" i="4"/>
  <c r="J22" i="4"/>
  <c r="J17" i="4"/>
  <c r="J16" i="4"/>
  <c r="J8" i="4"/>
  <c r="J7" i="4"/>
  <c r="H122" i="35" l="1"/>
  <c r="E129" i="35"/>
  <c r="A192" i="25"/>
  <c r="A191" i="25"/>
  <c r="A190" i="25"/>
  <c r="A189" i="25"/>
  <c r="A188" i="25"/>
  <c r="E176" i="25"/>
  <c r="E175" i="25"/>
  <c r="E174" i="25"/>
  <c r="C173" i="25"/>
  <c r="C168" i="25"/>
  <c r="C166" i="25"/>
  <c r="E164" i="25"/>
  <c r="E161" i="25"/>
  <c r="E160" i="25"/>
  <c r="E159" i="25"/>
  <c r="C157" i="25"/>
  <c r="E156" i="25"/>
  <c r="E153" i="25"/>
  <c r="E152" i="25"/>
  <c r="E151" i="25"/>
  <c r="E150" i="25"/>
  <c r="E148" i="25"/>
  <c r="C149" i="25"/>
  <c r="C147" i="25"/>
  <c r="C144" i="25"/>
  <c r="E143" i="25"/>
  <c r="C143" i="25" s="1"/>
  <c r="C132" i="25"/>
  <c r="C130" i="25"/>
  <c r="F119" i="25"/>
  <c r="G70" i="25"/>
  <c r="B112" i="25"/>
  <c r="B111" i="25"/>
  <c r="B110" i="25"/>
  <c r="B109" i="25"/>
  <c r="B108" i="25"/>
  <c r="B107" i="25"/>
  <c r="B103" i="25"/>
  <c r="B102" i="25"/>
  <c r="B101" i="25"/>
  <c r="B100" i="25"/>
  <c r="B99" i="25"/>
  <c r="B98" i="25"/>
  <c r="B97" i="25"/>
  <c r="B96" i="25"/>
  <c r="B95" i="25"/>
  <c r="B94" i="25"/>
  <c r="B93" i="25"/>
  <c r="B92" i="25"/>
  <c r="B91" i="25"/>
  <c r="B90" i="25"/>
  <c r="B89" i="25"/>
  <c r="B88" i="25"/>
  <c r="B87" i="25"/>
  <c r="B86" i="25"/>
  <c r="B85" i="25"/>
  <c r="B84" i="25"/>
  <c r="B83" i="25"/>
  <c r="B82" i="25"/>
  <c r="B81" i="25"/>
  <c r="B80" i="25"/>
  <c r="B79" i="25"/>
  <c r="B78" i="25"/>
  <c r="B77" i="25"/>
  <c r="B76" i="25"/>
  <c r="B75" i="25"/>
  <c r="B74" i="25"/>
  <c r="B73" i="25"/>
  <c r="B72" i="25"/>
  <c r="B71" i="25"/>
  <c r="B70" i="25"/>
  <c r="F112" i="25"/>
  <c r="F111" i="25"/>
  <c r="F110" i="25"/>
  <c r="F109" i="25"/>
  <c r="F108" i="25"/>
  <c r="F107" i="25"/>
  <c r="F103" i="25"/>
  <c r="F102" i="25"/>
  <c r="F101" i="25"/>
  <c r="F100" i="25"/>
  <c r="F99" i="25"/>
  <c r="F98" i="25"/>
  <c r="F97" i="25"/>
  <c r="F96" i="25"/>
  <c r="F95" i="25"/>
  <c r="F94" i="25"/>
  <c r="F93" i="25"/>
  <c r="F92" i="25"/>
  <c r="F91" i="25"/>
  <c r="F90" i="25"/>
  <c r="F89" i="25"/>
  <c r="F88" i="25"/>
  <c r="F87" i="25"/>
  <c r="F86" i="25"/>
  <c r="F85" i="25"/>
  <c r="F84" i="25"/>
  <c r="F83" i="25"/>
  <c r="F82" i="25"/>
  <c r="F81" i="25"/>
  <c r="F80" i="25"/>
  <c r="F79" i="25"/>
  <c r="F78" i="25"/>
  <c r="F77" i="25"/>
  <c r="F76" i="25"/>
  <c r="F75" i="25"/>
  <c r="F74" i="25"/>
  <c r="F73" i="25"/>
  <c r="F72" i="25"/>
  <c r="F71" i="25"/>
  <c r="F70"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7" i="25"/>
  <c r="E108" i="25"/>
  <c r="E109" i="25"/>
  <c r="E110" i="25"/>
  <c r="E111" i="25"/>
  <c r="E112"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7" i="25"/>
  <c r="G108" i="25"/>
  <c r="G109" i="25"/>
  <c r="G110" i="25"/>
  <c r="G111" i="25"/>
  <c r="G112" i="25"/>
  <c r="E119" i="25"/>
  <c r="G119" i="25"/>
  <c r="D57" i="25"/>
  <c r="D56" i="25"/>
  <c r="D55" i="25"/>
  <c r="D53" i="25"/>
  <c r="D52" i="25"/>
  <c r="D51" i="25"/>
  <c r="D49" i="25"/>
  <c r="D48" i="25"/>
  <c r="D47" i="25"/>
  <c r="D46" i="25"/>
  <c r="D44" i="25"/>
  <c r="D43" i="25"/>
  <c r="D42" i="25"/>
  <c r="C57" i="25"/>
  <c r="B57" i="25"/>
  <c r="C56" i="25"/>
  <c r="B56" i="25"/>
  <c r="C55" i="25"/>
  <c r="B55" i="25"/>
  <c r="C53" i="25"/>
  <c r="B53" i="25"/>
  <c r="C52" i="25"/>
  <c r="B52" i="25"/>
  <c r="C51" i="25"/>
  <c r="B51" i="25"/>
  <c r="C49" i="25"/>
  <c r="B49" i="25"/>
  <c r="C48" i="25"/>
  <c r="B48" i="25"/>
  <c r="C47" i="25"/>
  <c r="B47" i="25"/>
  <c r="C46" i="25"/>
  <c r="B46" i="25"/>
  <c r="C44" i="25"/>
  <c r="B44" i="25"/>
  <c r="C43" i="25"/>
  <c r="B43" i="25"/>
  <c r="C42" i="25"/>
  <c r="B42" i="25"/>
  <c r="D41" i="25"/>
  <c r="B41" i="25"/>
  <c r="E36" i="25"/>
  <c r="E35" i="25"/>
  <c r="E34" i="25"/>
  <c r="E33" i="25"/>
  <c r="E32" i="25"/>
  <c r="E31" i="25"/>
  <c r="E30" i="25"/>
  <c r="E24" i="25"/>
  <c r="E22" i="25"/>
  <c r="E21" i="25"/>
  <c r="E19" i="25"/>
  <c r="C36" i="25"/>
  <c r="B36" i="25"/>
  <c r="D36" i="25" s="1"/>
  <c r="A36" i="25"/>
  <c r="C35" i="25"/>
  <c r="B35" i="25"/>
  <c r="D35" i="25" s="1"/>
  <c r="A35" i="25"/>
  <c r="C34" i="25"/>
  <c r="B34" i="25"/>
  <c r="D34" i="25" s="1"/>
  <c r="A34" i="25"/>
  <c r="C33" i="25"/>
  <c r="B33" i="25"/>
  <c r="D33" i="25" s="1"/>
  <c r="A33" i="25"/>
  <c r="C32" i="25"/>
  <c r="B32" i="25"/>
  <c r="A32" i="25"/>
  <c r="C31" i="25"/>
  <c r="B31" i="25"/>
  <c r="A31" i="25"/>
  <c r="C30" i="25"/>
  <c r="B30" i="25"/>
  <c r="A30" i="25"/>
  <c r="C24" i="25"/>
  <c r="B24" i="25"/>
  <c r="D24" i="25" s="1"/>
  <c r="A24" i="25"/>
  <c r="C22" i="25"/>
  <c r="B22" i="25"/>
  <c r="A22" i="25"/>
  <c r="C21" i="25"/>
  <c r="B21" i="25"/>
  <c r="A21" i="25"/>
  <c r="C19" i="25"/>
  <c r="B19" i="25"/>
  <c r="A19" i="25"/>
  <c r="E18" i="25"/>
  <c r="C18" i="25"/>
  <c r="B18" i="25"/>
  <c r="A18" i="25"/>
  <c r="B121" i="25"/>
  <c r="A112" i="25"/>
  <c r="A111" i="25"/>
  <c r="A110" i="25"/>
  <c r="A109" i="25"/>
  <c r="A108" i="25"/>
  <c r="A107" i="25"/>
  <c r="A103" i="25"/>
  <c r="A102" i="25"/>
  <c r="A101" i="25"/>
  <c r="A100" i="25"/>
  <c r="A99" i="25"/>
  <c r="A98" i="25"/>
  <c r="A97" i="25"/>
  <c r="A96" i="25"/>
  <c r="A95" i="25"/>
  <c r="A94" i="25"/>
  <c r="A93" i="25"/>
  <c r="A92" i="25"/>
  <c r="A91" i="25"/>
  <c r="A90" i="25"/>
  <c r="A89" i="25"/>
  <c r="A88" i="25"/>
  <c r="A87" i="25"/>
  <c r="A86" i="25"/>
  <c r="A85" i="25"/>
  <c r="A84" i="25"/>
  <c r="A83" i="25"/>
  <c r="A82" i="25"/>
  <c r="A81" i="25"/>
  <c r="A80" i="25"/>
  <c r="A79" i="25"/>
  <c r="A78" i="25"/>
  <c r="A77" i="25"/>
  <c r="A76" i="25"/>
  <c r="A75" i="25"/>
  <c r="A74" i="25"/>
  <c r="A73" i="25"/>
  <c r="A72" i="25"/>
  <c r="A71" i="25"/>
  <c r="A70" i="25"/>
  <c r="C41" i="25"/>
  <c r="B14" i="25"/>
  <c r="B15" i="32" s="1"/>
  <c r="H11" i="32"/>
  <c r="H9" i="25"/>
  <c r="I6" i="33" s="1"/>
  <c r="A122" i="25"/>
  <c r="A121" i="25"/>
  <c r="A63" i="25"/>
  <c r="A62" i="25"/>
  <c r="A1" i="20"/>
  <c r="H1" i="4"/>
  <c r="D131" i="35" l="1"/>
  <c r="E131" i="35" s="1"/>
  <c r="D130" i="35"/>
  <c r="E130" i="35" s="1"/>
  <c r="D132" i="35"/>
  <c r="E132" i="35" s="1"/>
  <c r="C183" i="35"/>
  <c r="C182" i="35"/>
  <c r="I4" i="33"/>
  <c r="I3" i="33"/>
  <c r="H90" i="25"/>
  <c r="H108" i="25"/>
  <c r="H89" i="25"/>
  <c r="H73" i="25"/>
  <c r="D32" i="25"/>
  <c r="D31" i="25"/>
  <c r="D30" i="25"/>
  <c r="G30" i="25" s="1"/>
  <c r="D22" i="25"/>
  <c r="G22" i="25" s="1"/>
  <c r="D21" i="25"/>
  <c r="G21" i="25" s="1"/>
  <c r="D19" i="25"/>
  <c r="G19" i="25" s="1"/>
  <c r="D18" i="25"/>
  <c r="G18" i="25" s="1"/>
  <c r="H9" i="32"/>
  <c r="E171" i="25"/>
  <c r="H91" i="25"/>
  <c r="H75" i="25"/>
  <c r="H97" i="25"/>
  <c r="H81" i="25"/>
  <c r="G36" i="25"/>
  <c r="G24" i="25"/>
  <c r="H107" i="25"/>
  <c r="H88" i="25"/>
  <c r="H72" i="25"/>
  <c r="H103" i="25"/>
  <c r="H87" i="25"/>
  <c r="H71" i="25"/>
  <c r="H70" i="25"/>
  <c r="H102" i="25"/>
  <c r="H86" i="25"/>
  <c r="H112" i="25"/>
  <c r="H96" i="25"/>
  <c r="H80" i="25"/>
  <c r="H101" i="25"/>
  <c r="H85" i="25"/>
  <c r="H111" i="25"/>
  <c r="H119" i="25"/>
  <c r="H100" i="25"/>
  <c r="H84" i="25"/>
  <c r="H94" i="25"/>
  <c r="H78" i="25"/>
  <c r="H92" i="25"/>
  <c r="H79" i="25"/>
  <c r="G34" i="25"/>
  <c r="G35" i="25"/>
  <c r="H95" i="25"/>
  <c r="H110" i="25"/>
  <c r="H93" i="25"/>
  <c r="H77" i="25"/>
  <c r="H109" i="25"/>
  <c r="H76" i="25"/>
  <c r="G33" i="25"/>
  <c r="H10" i="32"/>
  <c r="E10" i="25"/>
  <c r="G158" i="25"/>
  <c r="H74" i="25"/>
  <c r="H82" i="25"/>
  <c r="H98" i="25"/>
  <c r="H83" i="25"/>
  <c r="H99" i="25"/>
  <c r="B37" i="25"/>
  <c r="G31" i="25"/>
  <c r="B25" i="25"/>
  <c r="B62" i="25"/>
  <c r="H9" i="4"/>
  <c r="E134" i="35" l="1"/>
  <c r="D135" i="35" s="1"/>
  <c r="E135" i="35" s="1"/>
  <c r="D137" i="35" s="1"/>
  <c r="E137" i="35" s="1"/>
  <c r="H124" i="35" s="1"/>
  <c r="I7" i="33"/>
  <c r="I5" i="33"/>
  <c r="D37" i="25"/>
  <c r="D25" i="25"/>
  <c r="G32" i="25"/>
  <c r="G37" i="25" s="1"/>
  <c r="H37" i="25" s="1"/>
  <c r="D157" i="25"/>
  <c r="E157" i="25" s="1"/>
  <c r="H37" i="32"/>
  <c r="E133" i="25"/>
  <c r="D49" i="32"/>
  <c r="H113" i="25"/>
  <c r="E128" i="25" s="1"/>
  <c r="H104" i="25"/>
  <c r="E127" i="25" s="1"/>
  <c r="G25" i="25"/>
  <c r="H26" i="25" s="1"/>
  <c r="D140" i="35" l="1"/>
  <c r="C142" i="35"/>
  <c r="D142" i="35"/>
  <c r="D149" i="35"/>
  <c r="E149" i="35" s="1"/>
  <c r="D147" i="35"/>
  <c r="E147" i="35" s="1"/>
  <c r="D173" i="35"/>
  <c r="E173" i="35" s="1"/>
  <c r="D166" i="35"/>
  <c r="E166" i="35" s="1"/>
  <c r="H166" i="35" s="1"/>
  <c r="G166" i="35" s="1"/>
  <c r="L7" i="33"/>
  <c r="K7" i="33"/>
  <c r="H3" i="25"/>
  <c r="H3" i="32" s="1"/>
  <c r="E142" i="35" l="1"/>
  <c r="D144" i="35" s="1"/>
  <c r="E144" i="35" s="1"/>
  <c r="H139" i="35" s="1"/>
  <c r="G139" i="35" s="1"/>
  <c r="H146" i="35"/>
  <c r="G146" i="35" s="1"/>
  <c r="D168" i="35"/>
  <c r="E168" i="35" s="1"/>
  <c r="H168" i="35" s="1"/>
  <c r="G168" i="35" s="1"/>
  <c r="G172" i="35"/>
  <c r="H170" i="35"/>
  <c r="G170" i="35" s="1"/>
  <c r="C135" i="25"/>
  <c r="H11" i="25"/>
  <c r="E10" i="2"/>
  <c r="H11" i="4"/>
  <c r="H180" i="35" l="1"/>
  <c r="C185" i="35" s="1"/>
  <c r="H13" i="32"/>
  <c r="H12" i="25"/>
  <c r="G158" i="2"/>
  <c r="H14" i="35" l="1"/>
  <c r="G14" i="35"/>
  <c r="H6" i="35"/>
  <c r="C184" i="35"/>
  <c r="I16" i="4"/>
  <c r="E171" i="2" l="1"/>
  <c r="D157" i="2" l="1"/>
  <c r="E157" i="2" s="1"/>
  <c r="L16" i="4" s="1"/>
  <c r="H37" i="4"/>
  <c r="C143" i="2" l="1"/>
  <c r="D18" i="2"/>
  <c r="G18" i="2" s="1"/>
  <c r="D19" i="2"/>
  <c r="G19" i="2" s="1"/>
  <c r="D20" i="2"/>
  <c r="G20" i="2" s="1"/>
  <c r="D21" i="2"/>
  <c r="G21" i="2" s="1"/>
  <c r="D22" i="2"/>
  <c r="G22" i="2" s="1"/>
  <c r="D23" i="2"/>
  <c r="G23" i="2" s="1"/>
  <c r="D24" i="2"/>
  <c r="G24" i="2" s="1"/>
  <c r="D30" i="2"/>
  <c r="G30" i="2" s="1"/>
  <c r="D31" i="2"/>
  <c r="G31" i="2" s="1"/>
  <c r="D32" i="2"/>
  <c r="G32" i="2" s="1"/>
  <c r="D33" i="2"/>
  <c r="G33" i="2" s="1"/>
  <c r="D34" i="2"/>
  <c r="G34" i="2" s="1"/>
  <c r="D35" i="2"/>
  <c r="G35" i="2" s="1"/>
  <c r="D36" i="2"/>
  <c r="G36" i="2" s="1"/>
  <c r="H3" i="4"/>
  <c r="B121" i="2"/>
  <c r="B62" i="2"/>
  <c r="B25" i="2"/>
  <c r="B37" i="2"/>
  <c r="B15" i="4"/>
  <c r="H26" i="4" l="1"/>
  <c r="D49" i="4" s="1"/>
  <c r="I9" i="4"/>
  <c r="B9" i="2"/>
  <c r="I4" i="4"/>
  <c r="E133" i="2"/>
  <c r="D25" i="2"/>
  <c r="B10" i="2" s="1"/>
  <c r="D37" i="2"/>
  <c r="B13" i="2" s="1"/>
  <c r="B13" i="25" s="1"/>
  <c r="G37" i="2"/>
  <c r="H37" i="2" s="1"/>
  <c r="G25" i="2"/>
  <c r="H26" i="2" s="1"/>
  <c r="C14" i="25" l="1"/>
  <c r="C15" i="32" s="1"/>
  <c r="B14" i="32"/>
  <c r="E128" i="2"/>
  <c r="I5" i="4"/>
  <c r="I15" i="4"/>
  <c r="B9" i="4"/>
  <c r="B9" i="25"/>
  <c r="B9" i="32" s="1"/>
  <c r="B10" i="4"/>
  <c r="B10" i="25"/>
  <c r="B10" i="32" s="1"/>
  <c r="B14" i="4"/>
  <c r="C14" i="2"/>
  <c r="C15" i="4" s="1"/>
  <c r="E127" i="2"/>
  <c r="C10" i="2"/>
  <c r="C10" i="4" s="1"/>
  <c r="C10" i="25" l="1"/>
  <c r="C10" i="32" s="1"/>
  <c r="E44" i="2" l="1"/>
  <c r="E57" i="2"/>
  <c r="E52" i="2"/>
  <c r="E53" i="2"/>
  <c r="E55" i="2"/>
  <c r="E56" i="2"/>
  <c r="E51" i="2"/>
  <c r="H10" i="4"/>
  <c r="E42" i="2"/>
  <c r="E48" i="2"/>
  <c r="E49" i="2"/>
  <c r="E43" i="2"/>
  <c r="E46" i="2"/>
  <c r="G43" i="2" l="1"/>
  <c r="E43" i="25"/>
  <c r="G43" i="25" s="1"/>
  <c r="G55" i="2"/>
  <c r="E55" i="25"/>
  <c r="G55" i="25" s="1"/>
  <c r="G49" i="2"/>
  <c r="E49" i="25"/>
  <c r="G49" i="25" s="1"/>
  <c r="G47" i="2"/>
  <c r="E47" i="25"/>
  <c r="G47" i="25" s="1"/>
  <c r="G53" i="2"/>
  <c r="E53" i="25"/>
  <c r="G53" i="25" s="1"/>
  <c r="G42" i="2"/>
  <c r="E42" i="25"/>
  <c r="G42" i="25" s="1"/>
  <c r="G52" i="2"/>
  <c r="E52" i="25"/>
  <c r="G52" i="25" s="1"/>
  <c r="G48" i="2"/>
  <c r="E48" i="25"/>
  <c r="G48" i="25" s="1"/>
  <c r="G57" i="2"/>
  <c r="E57" i="25"/>
  <c r="G57" i="25" s="1"/>
  <c r="G44" i="2"/>
  <c r="E44" i="25"/>
  <c r="G44" i="25" s="1"/>
  <c r="G51" i="2"/>
  <c r="E51" i="25"/>
  <c r="G51" i="25" s="1"/>
  <c r="H67" i="25"/>
  <c r="G41" i="2"/>
  <c r="E41" i="25"/>
  <c r="G41" i="25" s="1"/>
  <c r="G46" i="2"/>
  <c r="E46" i="25"/>
  <c r="G46" i="25" s="1"/>
  <c r="G56" i="2"/>
  <c r="E56" i="25"/>
  <c r="G56" i="25" s="1"/>
  <c r="E126" i="2" l="1"/>
  <c r="H115" i="2"/>
  <c r="I3" i="4"/>
  <c r="G58" i="2"/>
  <c r="G59" i="2" s="1"/>
  <c r="E126" i="25"/>
  <c r="H115" i="25"/>
  <c r="G58" i="25"/>
  <c r="I6" i="4" l="1"/>
  <c r="I8" i="4" s="1"/>
  <c r="H59" i="2"/>
  <c r="H61" i="2" s="1"/>
  <c r="H63" i="2" s="1"/>
  <c r="H117" i="2" s="1"/>
  <c r="H59" i="25"/>
  <c r="H61" i="25" s="1"/>
  <c r="G59" i="25"/>
  <c r="E125" i="2" l="1"/>
  <c r="I7" i="4"/>
  <c r="I2" i="4"/>
  <c r="I10" i="4"/>
  <c r="H63" i="25"/>
  <c r="H117" i="25" s="1"/>
  <c r="E125" i="25"/>
  <c r="H122" i="2"/>
  <c r="D131" i="2" s="1"/>
  <c r="E131" i="2" s="1"/>
  <c r="E129" i="2"/>
  <c r="H122" i="25" l="1"/>
  <c r="D131" i="25" s="1"/>
  <c r="E131" i="25" s="1"/>
  <c r="E129" i="25"/>
  <c r="C183" i="2"/>
  <c r="D130" i="2"/>
  <c r="C182" i="2"/>
  <c r="D132" i="2"/>
  <c r="E132" i="2" s="1"/>
  <c r="E130" i="2" l="1"/>
  <c r="C18" i="4"/>
  <c r="C17" i="4"/>
  <c r="D130" i="25"/>
  <c r="E130" i="25" s="1"/>
  <c r="C182" i="25"/>
  <c r="C17" i="32" s="1"/>
  <c r="D132" i="25"/>
  <c r="E132" i="25" s="1"/>
  <c r="C183" i="25"/>
  <c r="C18" i="32" s="1"/>
  <c r="E134" i="2" l="1"/>
  <c r="E134" i="25"/>
  <c r="D135" i="25" s="1"/>
  <c r="E135" i="25" s="1"/>
  <c r="D135" i="2" l="1"/>
  <c r="H124" i="25"/>
  <c r="D137" i="25"/>
  <c r="E137" i="25" s="1"/>
  <c r="D142" i="25"/>
  <c r="D173" i="25" l="1"/>
  <c r="E173" i="25" s="1"/>
  <c r="G172" i="25" s="1"/>
  <c r="H38" i="32" s="1"/>
  <c r="H25" i="32"/>
  <c r="H24" i="32"/>
  <c r="H48" i="32" s="1"/>
  <c r="J21" i="4"/>
  <c r="C142" i="25"/>
  <c r="E142" i="25" s="1"/>
  <c r="D144" i="25" s="1"/>
  <c r="E144" i="25" s="1"/>
  <c r="H139" i="25" s="1"/>
  <c r="D149" i="25"/>
  <c r="E149" i="25" s="1"/>
  <c r="I48" i="4"/>
  <c r="D147" i="25"/>
  <c r="E147" i="25" s="1"/>
  <c r="D166" i="25"/>
  <c r="E166" i="25" s="1"/>
  <c r="H166" i="25" s="1"/>
  <c r="H170" i="25"/>
  <c r="I52" i="4" s="1"/>
  <c r="H146" i="25" l="1"/>
  <c r="H30" i="32" s="1"/>
  <c r="H29" i="32"/>
  <c r="G139" i="25"/>
  <c r="I49" i="4"/>
  <c r="H32" i="32"/>
  <c r="H51" i="32" s="1"/>
  <c r="I51" i="4"/>
  <c r="D168" i="25"/>
  <c r="E168" i="25" s="1"/>
  <c r="H168" i="25" s="1"/>
  <c r="H180" i="25" s="1"/>
  <c r="H36" i="32"/>
  <c r="H52" i="32" s="1"/>
  <c r="G170" i="25"/>
  <c r="G146" i="25"/>
  <c r="H28" i="32" l="1"/>
  <c r="H49" i="32" s="1"/>
  <c r="H34" i="32"/>
  <c r="H50" i="32" s="1"/>
  <c r="I50" i="4"/>
  <c r="H6" i="25"/>
  <c r="H6" i="32" s="1"/>
  <c r="C185" i="25"/>
  <c r="C20" i="32" s="1"/>
  <c r="C184" i="25"/>
  <c r="I54" i="4"/>
  <c r="H40" i="32" l="1"/>
  <c r="H12" i="32"/>
  <c r="H12" i="4"/>
  <c r="H12" i="2" l="1"/>
  <c r="C135" i="2" s="1"/>
  <c r="J11" i="4" l="1"/>
  <c r="I11" i="4" s="1"/>
  <c r="I12" i="4" s="1"/>
  <c r="H13" i="4"/>
  <c r="E12" i="2"/>
  <c r="H13" i="2"/>
  <c r="E135" i="2"/>
  <c r="D137" i="2" s="1"/>
  <c r="E137" i="2" s="1"/>
  <c r="H124" i="2" s="1"/>
  <c r="E12" i="25" l="1"/>
  <c r="H13" i="25"/>
  <c r="D48" i="32" l="1"/>
  <c r="D166" i="2"/>
  <c r="E166" i="2" s="1"/>
  <c r="H166" i="2" s="1"/>
  <c r="G166" i="2" s="1"/>
  <c r="D147" i="2"/>
  <c r="E147" i="2" s="1"/>
  <c r="H24" i="4"/>
  <c r="D142" i="2"/>
  <c r="E142" i="2" s="1"/>
  <c r="D173" i="2"/>
  <c r="E173" i="2" s="1"/>
  <c r="D149" i="2"/>
  <c r="E149" i="2" s="1"/>
  <c r="H25" i="4"/>
  <c r="D48" i="4" s="1"/>
  <c r="B55" i="4" l="1"/>
  <c r="G34" i="4"/>
  <c r="H48" i="4"/>
  <c r="I27" i="4"/>
  <c r="D54" i="32"/>
  <c r="G37" i="32"/>
  <c r="G28" i="32"/>
  <c r="G36" i="32"/>
  <c r="B56" i="32" s="1"/>
  <c r="G34" i="32"/>
  <c r="B55" i="32" s="1"/>
  <c r="D50" i="32"/>
  <c r="G32" i="32"/>
  <c r="B54" i="32" s="1"/>
  <c r="G30" i="32"/>
  <c r="B52" i="32" s="1"/>
  <c r="G38" i="32"/>
  <c r="G29" i="32"/>
  <c r="B51" i="32" s="1"/>
  <c r="L17" i="4"/>
  <c r="G172" i="2"/>
  <c r="H170" i="2"/>
  <c r="D144" i="2"/>
  <c r="I21" i="4"/>
  <c r="D50" i="4"/>
  <c r="G37" i="4"/>
  <c r="I25" i="4"/>
  <c r="H146" i="2"/>
  <c r="D168" i="2"/>
  <c r="E168" i="2" s="1"/>
  <c r="H168" i="2" s="1"/>
  <c r="G168" i="2" s="1"/>
  <c r="H32" i="4"/>
  <c r="G32" i="4" l="1"/>
  <c r="B54" i="4" s="1"/>
  <c r="H51" i="4"/>
  <c r="D52" i="32"/>
  <c r="D56" i="32"/>
  <c r="D55" i="32"/>
  <c r="H34" i="4"/>
  <c r="I32" i="4"/>
  <c r="G146" i="2"/>
  <c r="H30" i="4"/>
  <c r="I18" i="4"/>
  <c r="H36" i="4"/>
  <c r="H52" i="4" s="1"/>
  <c r="G170" i="2"/>
  <c r="I17" i="4"/>
  <c r="O17" i="4" s="1"/>
  <c r="H38" i="4"/>
  <c r="G38" i="4" s="1"/>
  <c r="D54" i="4"/>
  <c r="H50" i="4" l="1"/>
  <c r="D52" i="4"/>
  <c r="G30" i="4"/>
  <c r="D56" i="4"/>
  <c r="G36" i="4"/>
  <c r="D55" i="4"/>
  <c r="B56" i="4" l="1"/>
  <c r="B52" i="4"/>
  <c r="E144" i="2" l="1"/>
  <c r="H139" i="2" l="1"/>
  <c r="H180" i="2" s="1"/>
  <c r="I22" i="4"/>
  <c r="G139" i="2" l="1"/>
  <c r="H28" i="4"/>
  <c r="H29" i="4"/>
  <c r="D51" i="4" s="1"/>
  <c r="D51" i="32"/>
  <c r="H14" i="2"/>
  <c r="G14" i="2"/>
  <c r="G14" i="25" s="1"/>
  <c r="I23" i="4"/>
  <c r="G29" i="4"/>
  <c r="B51" i="4" s="1"/>
  <c r="G28" i="4"/>
  <c r="B53" i="4" s="1"/>
  <c r="C184" i="2"/>
  <c r="C185" i="2"/>
  <c r="H6" i="2"/>
  <c r="D53" i="4" l="1"/>
  <c r="H49" i="4"/>
  <c r="H40" i="4"/>
  <c r="D57" i="4" s="1"/>
  <c r="C20" i="4"/>
  <c r="H14" i="25"/>
  <c r="H15" i="32" s="1"/>
  <c r="H6" i="4"/>
  <c r="C21" i="4"/>
  <c r="D53" i="32"/>
  <c r="H15" i="4"/>
  <c r="H54" i="4" l="1"/>
  <c r="I53" i="4" s="1"/>
  <c r="H53" i="4" s="1"/>
  <c r="D57" i="32"/>
  <c r="H54" i="32"/>
  <c r="H53"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tc={31C84E90-F4CD-294C-821E-47C5A2CC8CCE}</author>
  </authors>
  <commentList>
    <comment ref="H1" authorId="0" shapeId="0" xr:uid="{31C84E90-F4CD-294C-821E-47C5A2CC8CCE}">
      <text>
        <t>[Threaded comment]
Your version of Excel allows you to read this threaded comment; however, any edits to it will get removed if the file is opened in a newer version of Excel. Learn more: https://go.microsoft.com/fwlink/?linkid=870924
Comment:
    This worksheet will auto-complete based on Project Budget Worksheet (PBW).</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tc={0FBC002F-8431-4248-B393-6FAC3E85DC09}</author>
    <author>tc={C7403AF5-F38A-1048-9D11-3BC22BAA3422}</author>
    <author>tc={F93897B8-6825-CE44-B28E-AD2ED8B0063C}</author>
    <author>tc={D790599E-DE40-4042-A989-C9F6DC2410AC}</author>
    <author>tc={AAD73E21-82ED-4945-A4BD-519F93EC466D}</author>
    <author>tc={831D22D8-A5AE-114B-851A-D8521F5DA05D}</author>
    <author>tc={CBD8749D-37E7-9F44-A7FC-A681C35DCB8B}</author>
    <author>tc={956A9DB7-1733-994B-BCD3-986104710021}</author>
    <author>tc={447C04C3-3E99-C542-A0F4-983FBCDAA2A6}</author>
    <author>tc={589A3024-3C7A-4843-938A-F1FDBCC2FD91}</author>
    <author>tc={C40C5361-A92B-4640-87E0-349898AFC8AB}</author>
    <author>tc={37817C58-33BD-1140-AA1C-66FCDDE19BF0}</author>
    <author>tc={279762C7-35D2-2B4B-BF29-F86B2EF1013F}</author>
    <author>tc={AD3FCC11-E83B-C84B-9C08-C30601246C5D}</author>
    <author>tc={D630005F-EB46-F442-B1B4-C0A3ABFC156A}</author>
    <author>tc={C374152A-E1DA-DA44-BB83-A036495E9AC6}</author>
    <author>tc={B2507F47-2F72-9243-BC76-2E628E880158}</author>
    <author>tc={3A2A6697-23EF-C24B-ADCC-E8E4CFA9ACE4}</author>
    <author>tc={5B9AC1A3-65DE-0549-85D2-51766F9B3B56}</author>
    <author>tc={1E04D922-8DD6-7541-B220-F6B579C7A90D}</author>
    <author>tc={D25DB76D-ECD2-A64C-A653-A48862C03227}</author>
    <author>tc={4F015D2C-D763-8347-99BE-4DAD4B0C39E6}</author>
    <author>tc={B5335DAB-1056-0D4F-AC41-C09616CAAE0D}</author>
    <author>tc={68FCACE1-27B0-E04B-891C-23C0CD0B41D3}</author>
    <author>tc={08D0C541-376B-6C4F-BC08-C51B81C1434A}</author>
  </authors>
  <commentList>
    <comment ref="G3" authorId="0" shapeId="0" xr:uid="{0FBC002F-8431-4248-B393-6FAC3E85DC09}">
      <text>
        <t>[Threaded comment]
Your version of Excel allows you to read this threaded comment; however, any edits to it will get removed if the file is opened in a newer version of Excel. Learn more: https://go.microsoft.com/fwlink/?linkid=870924
Comment:
    The contents in this cell should be hard coded to the date the PBW is finalized. Simply overwrite the formula with the actual date entry (i.e. 04/01/2022).</t>
      </text>
    </comment>
    <comment ref="A4" authorId="1" shapeId="0" xr:uid="{C7403AF5-F38A-1048-9D11-3BC22BAA3422}">
      <text>
        <t>[Threaded comment]
Your version of Excel allows you to read this threaded comment; however, any edits to it will get removed if the file is opened in a newer version of Excel. Learn more: https://go.microsoft.com/fwlink/?linkid=870924
Comment:
    Intended to contain the UW Institution Name (i.e. UW-INSTITUTION NAME). This field has a drop down pick list to choose from for standardized institution names.</t>
      </text>
    </comment>
    <comment ref="A5" authorId="2" shapeId="0" xr:uid="{F93897B8-6825-CE44-B28E-AD2ED8B0063C}">
      <text>
        <t>[Threaded comment]
Your version of Excel allows you to read this threaded comment; however, any edits to it will get removed if the file is opened in a newer version of Excel. Learn more: https://go.microsoft.com/fwlink/?linkid=870924
Comment:
    AA = All Agency
IS = Instructional Space
MFR = Minor Facilities Renewal
MP = Major Project
P&amp;D = Planning &amp; Design
SP = Small Project
X = Unspecified</t>
      </text>
    </comment>
    <comment ref="A6" authorId="3" shapeId="0" xr:uid="{D790599E-DE40-4042-A989-C9F6DC2410AC}">
      <text>
        <t>[Threaded comment]
Your version of Excel allows you to read this threaded comment; however, any edits to it will get removed if the file is opened in a newer version of Excel. Learn more: https://go.microsoft.com/fwlink/?linkid=870924
Comment:
    Intended to contain the Project Name, Project No., Alternate or Option No., and date reference of publication.</t>
      </text>
    </comment>
    <comment ref="G9" authorId="4" shapeId="0" xr:uid="{AAD73E21-82ED-4945-A4BD-519F93EC466D}">
      <text>
        <t>[Threaded comment]
Your version of Excel allows you to read this threaded comment; however, any edits to it will get removed if the file is opened in a newer version of Excel. Learn more: https://go.microsoft.com/fwlink/?linkid=870924
Comment:
    Base Date should be on or prior to revision date of Project Budget Worksheet template to maximize the actual inflation included in the budget estimate vs. estimated inflation.
Cell has conditional formatting to highlight RED if Base Date &gt; PBW Revision Date or if Base Date is more than 4 years old, highlight YELLOW if the Base Date is between 2-4 years old.</t>
      </text>
    </comment>
    <comment ref="F10" authorId="5" shapeId="0" xr:uid="{831D22D8-A5AE-114B-851A-D8521F5DA05D}">
      <text>
        <t>[Threaded comment]
Your version of Excel allows you to read this threaded comment; however, any edits to it will get removed if the file is opened in a newer version of Excel. Learn more: https://go.microsoft.com/fwlink/?linkid=870924
Comment:
    Traditionally prescribed as the Bid Date…but can be defined as the Start of Construction, Mid-Point of Construction, etc. for certain applications if required.</t>
      </text>
    </comment>
    <comment ref="G12" authorId="6" shapeId="0" xr:uid="{CBD8749D-37E7-9F44-A7FC-A681C35DCB8B}">
      <text>
        <t>[Threaded comment]
Your version of Excel allows you to read this threaded comment; however, any edits to it will get removed if the file is opened in a newer version of Excel. Learn more: https://go.microsoft.com/fwlink/?linkid=870924
Comment:
    This value will default to the Escalation (Calculated) value above based on the Base Date and Bid Date values embedded in the ENR Index worksheet included in this workbook template. 
This value can be manually overwritten using the ENR Index values from a future Project Budget Worksheet edition to correct inflation value calculations and estimates after the initial Project Budget Worksheet creation and submittal.</t>
      </text>
    </comment>
    <comment ref="G14" authorId="7" shapeId="0" xr:uid="{956A9DB7-1733-994B-BCD3-986104710021}">
      <text>
        <t>[Threaded comment]
Your version of Excel allows you to read this threaded comment; however, any edits to it will get removed if the file is opened in a newer version of Excel. Learn more: https://go.microsoft.com/fwlink/?linkid=870924
Comment:
    Occupancy Date will autocalculate based on project size and DFD guidance on project duration based on project size.</t>
      </text>
    </comment>
    <comment ref="F39" authorId="8" shapeId="0" xr:uid="{447C04C3-3E99-C542-A0F4-983FBCDAA2A6}">
      <text>
        <t>[Threaded comment]
Your version of Excel allows you to read this threaded comment; however, any edits to it will get removed if the file is opened in a newer version of Excel. Learn more: https://go.microsoft.com/fwlink/?linkid=870924
Comment:
    DFD Standard Trade Unit Costs: Automatically updated based on July 2011 ENR Value and the PBW Base Index Value defined above.</t>
      </text>
    </comment>
    <comment ref="G67" authorId="9" shapeId="0" xr:uid="{589A3024-3C7A-4843-938A-F1FDBCC2FD91}">
      <text>
        <t>[Threaded comment]
Your version of Excel allows you to read this threaded comment; however, any edits to it will get removed if the file is opened in a newer version of Excel. Learn more: https://go.microsoft.com/fwlink/?linkid=870924
Comment:
    DFD Standard Demolition Cost: Automatically updated based on July 2018 ENR Value and the PBW Base Index Value defined above.</t>
      </text>
    </comment>
    <comment ref="B130" authorId="10" shapeId="0" xr:uid="{C40C5361-A92B-4640-87E0-349898AFC8AB}">
      <text>
        <t>[Threaded comment]
Your version of Excel allows you to read this threaded comment; however, any edits to it will get removed if the file is opened in a newer version of Excel. Learn more: https://go.microsoft.com/fwlink/?linkid=870924
Comment:
    Default to 10%, but may range above or below that value dependent on size, complexity, and development status of project. Use Designer's value from feasibility study when possible. Value should be 0% if Design Report is complete.</t>
      </text>
    </comment>
    <comment ref="B131" authorId="11" shapeId="0" xr:uid="{37817C58-33BD-1140-AA1C-66FCDDE19BF0}">
      <text>
        <t xml:space="preserve">[Threaded comment]
Your version of Excel allows you to read this threaded comment; however, any edits to it will get removed if the file is opened in a newer version of Excel. Learn more: https://go.microsoft.com/fwlink/?linkid=870924
Comment:
    Indirect project costs, project specific costs that do not result in an asset. Use Desiger's value from Pre-Design Report when necessary (i.e. when pre-design values that are used in PBW do not already include General conditions factors). </t>
      </text>
    </comment>
    <comment ref="B132" authorId="12" shapeId="0" xr:uid="{279762C7-35D2-2B4B-BF29-F86B2EF1013F}">
      <text>
        <t xml:space="preserve">[Threaded comment]
Your version of Excel allows you to read this threaded comment; however, any edits to it will get removed if the file is opened in a newer version of Excel. Learn more: https://go.microsoft.com/fwlink/?linkid=870924
Comment:
    Indirect non-project costs. Typically ranges from 5% to 15%. Use Desiger's value from Pre-Design Report when necessary (i.e. when pre-design values that are used in PBW do not already include OH&amp;P factors). </t>
      </text>
    </comment>
    <comment ref="B140" authorId="13" shapeId="0" xr:uid="{AD3FCC11-E83B-C84B-9C08-C30601246C5D}">
      <text>
        <t>[Threaded comment]
Your version of Excel allows you to read this threaded comment; however, any edits to it will get removed if the file is opened in a newer version of Excel. Learn more: https://go.microsoft.com/fwlink/?linkid=870924
Comment:
    Must be paired with the “Project Complexity Designation” to auto populate the Basic Services percentage based on the “Unescalated Construction Cost Subtotal” value.</t>
      </text>
    </comment>
    <comment ref="B141" authorId="14" shapeId="0" xr:uid="{D630005F-EB46-F442-B1B4-C0A3ABFC156A}">
      <text>
        <t>[Threaded comment]
Your version of Excel allows you to read this threaded comment; however, any edits to it will get removed if the file is opened in a newer version of Excel. Learn more: https://go.microsoft.com/fwlink/?linkid=870924
Comment:
    Must be paired with the “Primary Scope of Work Designation” to auto populate the Basic Services percentage based on the “Unescalated Construction Cost Subtotal” value.</t>
      </text>
    </comment>
    <comment ref="B142" authorId="15" shapeId="0" xr:uid="{C374152A-E1DA-DA44-BB83-A036495E9AC6}">
      <text>
        <t>[Threaded comment]
Your version of Excel allows you to read this threaded comment; however, any edits to it will get removed if the file is opened in a newer version of Excel. Learn more: https://go.microsoft.com/fwlink/?linkid=870924
Comment:
    Based on three factors and values: “Primary Scope of Work Designation”, “Project Complexity Designation”, and “Unescalated Construction Cost Subtotal”…all of which are located on this page.</t>
      </text>
    </comment>
    <comment ref="D143" authorId="16" shapeId="0" xr:uid="{B2507F47-2F72-9243-BC76-2E628E880158}">
      <text>
        <t>[Threaded comment]
Your version of Excel allows you to read this threaded comment; however, any edits to it will get removed if the file is opened in a newer version of Excel. Learn more: https://go.microsoft.com/fwlink/?linkid=870924
Comment:
    Data Entry in this cell will override the calculated Fee in the Row above based on the % of Construction Cost. This cell can be used for Fees only type projects (i.e. Feasibility Studies, Master Plans, etc.) or when the user needs to match a specific $ amount that is easier to enter than to calculate.</t>
      </text>
    </comment>
    <comment ref="B144" authorId="17" shapeId="0" xr:uid="{3A2A6697-23EF-C24B-ADCC-E8E4CFA9ACE4}">
      <text>
        <t>[Threaded comment]
Your version of Excel allows you to read this threaded comment; however, any edits to it will get removed if the file is opened in a newer version of Excel. Learn more: https://go.microsoft.com/fwlink/?linkid=870924
Comment:
    Normally 4% of A/E fee for Major Projects. Includes survey, geotechnical, and plan review.</t>
      </text>
    </comment>
    <comment ref="B147" authorId="18" shapeId="0" xr:uid="{5B9AC1A3-65DE-0549-85D2-51766F9B3B56}">
      <text>
        <t>[Threaded comment]
Your version of Excel allows you to read this threaded comment; however, any edits to it will get removed if the file is opened in a newer version of Excel. Learn more: https://go.microsoft.com/fwlink/?linkid=870924
Comment:
    Ranges from 1/2% to 1-1/4% for Major Projects.</t>
      </text>
    </comment>
    <comment ref="B149" authorId="19" shapeId="0" xr:uid="{1E04D922-8DD6-7541-B220-F6B579C7A90D}">
      <text>
        <t>[Threaded comment]
Your version of Excel allows you to read this threaded comment; however, any edits to it will get removed if the file is opened in a newer version of Excel. Learn more: https://go.microsoft.com/fwlink/?linkid=870924
Comment:
    Level 1 = 0.00% - 0.25%
Level 2 = 0.15% - 1.00%</t>
      </text>
    </comment>
    <comment ref="D150" authorId="20" shapeId="0" xr:uid="{D25DB76D-ECD2-A64C-A653-A48862C03227}">
      <text>
        <t>[Threaded comment]
Your version of Excel allows you to read this threaded comment; however, any edits to it will get removed if the file is opened in a newer version of Excel. Learn more: https://go.microsoft.com/fwlink/?linkid=870924
Comment:
    Type  I: $50,000 - $100,000 Type II: $30,000 - $50,000</t>
      </text>
    </comment>
    <comment ref="B157" authorId="21" shapeId="0" xr:uid="{4F015D2C-D763-8347-99BE-4DAD4B0C39E6}">
      <text>
        <t>[Threaded comment]
Your version of Excel allows you to read this threaded comment; however, any edits to it will get removed if the file is opened in a newer version of Excel. Learn more: https://go.microsoft.com/fwlink/?linkid=870924
Comment:
    This Design Fee is a percent of the OFCI Furnishings, Fixtures, &amp; Equipment Cost Estimate. Percentages will vary based on complexity of project, FF&amp;E items, and services desired.
≤4% of FF&amp;E Budget: Selection and specification only.
≤10% of FF&amp;E Budget: Selection, specification, layout/design, and procurement assistance. 
REQUIRES DATA ENTRY IN ONE OR MORE OF THE FIVE ROWS IMMEDIATELY BELOW THIS ROW.</t>
      </text>
    </comment>
    <comment ref="B166" authorId="22" shapeId="0" xr:uid="{B5335DAB-1056-0D4F-AC41-C09616CAAE0D}">
      <text>
        <t>[Threaded comment]
Your version of Excel allows you to read this threaded comment; however, any edits to it will get removed if the file is opened in a newer version of Excel. Learn more: https://go.microsoft.com/fwlink/?linkid=870924
Comment:
    Percent of Total Construction Cost. 15% default for all projects.</t>
      </text>
    </comment>
    <comment ref="D168" authorId="23" shapeId="0" xr:uid="{68FCACE1-27B0-E04B-891C-23C0CD0B41D3}">
      <text>
        <t>[Threaded comment]
Your version of Excel allows you to read this threaded comment; however, any edits to it will get removed if the file is opened in a newer version of Excel. Learn more: https://go.microsoft.com/fwlink/?linkid=870924
Comment:
    4% of (Total Construction Cost + Project Contingency).</t>
      </text>
    </comment>
    <comment ref="B173" authorId="24" shapeId="0" xr:uid="{08D0C541-376B-6C4F-BC08-C51B81C1434A}">
      <text>
        <t>[Threaded comment]
Your version of Excel allows you to read this threaded comment; however, any edits to it will get removed if the file is opened in a newer version of Excel. Learn more: https://go.microsoft.com/fwlink/?linkid=870924
Comment:
    Lump sum percentage of construction value + the itemized costs in the five rows below this row. Percentages will vary based on project type, how much existing FF&amp;E will be salvaged, etc. 
     - Typical project 5-10% 
     - Laboratory buildings 10-15%</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tc={FA364F24-0F4A-A94F-B31F-D2A80431623B}</author>
  </authors>
  <commentList>
    <comment ref="H1" authorId="0" shapeId="0" xr:uid="{FA364F24-0F4A-A94F-B31F-D2A80431623B}">
      <text>
        <t>[Threaded comment]
Your version of Excel allows you to read this threaded comment; however, any edits to it will get removed if the file is opened in a newer version of Excel. Learn more: https://go.microsoft.com/fwlink/?linkid=870924
Comment:
    This worksheet will auto-complete based on Project Budget Worksheet (PBW).</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tc={86542E4D-466F-1D43-8AA7-E03BD517DCF5}</author>
  </authors>
  <commentList>
    <comment ref="H1" authorId="0" shapeId="0" xr:uid="{86542E4D-466F-1D43-8AA7-E03BD517DCF5}">
      <text>
        <t>[Threaded comment]
Your version of Excel allows you to read this threaded comment; however, any edits to it will get removed if the file is opened in a newer version of Excel. Learn more: https://go.microsoft.com/fwlink/?linkid=870924
Comment:
    This worksheet will auto-complete based on Project Budget Worksheet (PBW).</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tc={6E06592F-9380-4F45-A608-51E48933FBB4}</author>
    <author>tc={5BE3ABF1-BC84-EC4C-A6F4-52933D778F0C}</author>
    <author>tc={FEACA315-21B6-6D48-8107-FFB4B86BE337}</author>
  </authors>
  <commentList>
    <comment ref="B4" authorId="0" shapeId="0" xr:uid="{6E06592F-9380-4F45-A608-51E48933FBB4}">
      <text>
        <t>[Threaded comment]
Your version of Excel allows you to read this threaded comment; however, any edits to it will get removed if the file is opened in a newer version of Excel. Learn more: https://go.microsoft.com/fwlink/?linkid=870924
Comment:
    Although it is possible to make duplicates of the PBW worksheet in the same file to explore alternatives and options, the PBW_Summary worksheet will only map to the original PBW worksheet content.</t>
      </text>
    </comment>
    <comment ref="B8" authorId="1" shapeId="0" xr:uid="{5BE3ABF1-BC84-EC4C-A6F4-52933D778F0C}">
      <text>
        <t>[Threaded comment]
Your version of Excel allows you to read this threaded comment; however, any edits to it will get removed if the file is opened in a newer version of Excel. Learn more: https://go.microsoft.com/fwlink/?linkid=870924
Comment:
    Data source found at &lt;https://www.enr.com/economics/historical_indices/building_cost_index_history&gt;, but requires user account to access data content.</t>
      </text>
    </comment>
    <comment ref="B12" authorId="2" shapeId="0" xr:uid="{FEACA315-21B6-6D48-8107-FFB4B86BE337}">
      <text>
        <t xml:space="preserve">[Threaded comment]
Your version of Excel allows you to read this threaded comment; however, any edits to it will get removed if the file is opened in a newer version of Excel. Learn more: https://go.microsoft.com/fwlink/?linkid=870924
Comment:
    PBW Revision Date and associated fields primarily created and generated to facilitate easy template updates without having to manually edit each worksheet in the template for a revision date.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tc={223E172D-512D-4542-AA07-472BB1BB7185}</author>
    <author>tc={2F986ECF-79B7-B54B-A1AD-E152C1B50C63}</author>
    <author>tc={D92B2A61-7CD5-2B4B-9929-02524E5C5107}</author>
    <author>tc={35A694EB-AED8-9243-9AF5-90E5E8154315}</author>
    <author>tc={B28A4F24-51A7-D841-97B0-303F28266980}</author>
    <author>tc={E7E27831-FB1D-4A41-A636-CD87EC66955B}</author>
    <author>tc={C0A6D5A2-DBDC-8040-AB1F-44D14390B2FE}</author>
    <author>tc={73925993-D07F-4F4B-8F77-FBAA223FA221}</author>
    <author>tc={5DD1AFF3-A90C-CE4F-9A30-919439A2DEC5}</author>
    <author>tc={19C66088-064D-4B42-9B5E-EF61867D02E3}</author>
    <author>tc={28867496-1D6D-8047-8F05-58E4E8ED287A}</author>
    <author>tc={15119643-7047-0A4C-9A84-A15476CAA8DA}</author>
    <author>tc={A2CFD96E-3C5F-A44A-AEBB-5DAB98F245D5}</author>
    <author>tc={D4EC64CB-9EB4-3045-BB8E-18F05F26F1E5}</author>
    <author>tc={D548B474-BC96-0644-BF11-F0DEC124D533}</author>
    <author>tc={5E823C52-D8FC-FB40-BCC6-07EADEA1530A}</author>
    <author>tc={EE967316-3C59-4440-8764-B3A6779286A1}</author>
    <author>tc={C81183D0-C679-C547-BD91-64D118FCB9F2}</author>
    <author>tc={E6C33C05-2B91-8941-A45F-7F5D6AB5F346}</author>
    <author>tc={3362ABED-CFBD-0940-9260-0D2D57E68462}</author>
    <author>tc={2C9D654F-0FEC-E240-8972-66056A5BC3E7}</author>
    <author>tc={32223761-2266-B84A-BFAD-CA302C931016}</author>
    <author>tc={9C44C459-B1C9-AB41-AD8D-683A4E1FE85B}</author>
    <author>tc={B8FCC3B0-9BF1-3B49-B1F0-DAFD6995BFD8}</author>
    <author>tc={C5844CCA-C0FF-824D-BAAA-5BB80C710B4A}</author>
  </authors>
  <commentList>
    <comment ref="G3" authorId="0" shapeId="0" xr:uid="{223E172D-512D-4542-AA07-472BB1BB7185}">
      <text>
        <t>[Threaded comment]
Your version of Excel allows you to read this threaded comment; however, any edits to it will get removed if the file is opened in a newer version of Excel. Learn more: https://go.microsoft.com/fwlink/?linkid=870924
Comment:
    The contents in this cell should be hard coded to the date the PBW is finalized. Simply overwrite the formula with the actual date entry (i.e. 04/01/2022).</t>
      </text>
    </comment>
    <comment ref="A4" authorId="1" shapeId="0" xr:uid="{2F986ECF-79B7-B54B-A1AD-E152C1B50C63}">
      <text>
        <t>[Threaded comment]
Your version of Excel allows you to read this threaded comment; however, any edits to it will get removed if the file is opened in a newer version of Excel. Learn more: https://go.microsoft.com/fwlink/?linkid=870924
Comment:
    Intended to contain the UW Institution Name (i.e. UW-INSTITUTION NAME). This field has a drop down pick list to choose from for standardized institution names.</t>
      </text>
    </comment>
    <comment ref="A5" authorId="2" shapeId="0" xr:uid="{D92B2A61-7CD5-2B4B-9929-02524E5C5107}">
      <text>
        <t>[Threaded comment]
Your version of Excel allows you to read this threaded comment; however, any edits to it will get removed if the file is opened in a newer version of Excel. Learn more: https://go.microsoft.com/fwlink/?linkid=870924
Comment:
    AA = All Agency
IS = Instructional Space
MFR = Minor Facilities Renewal
MP = Major Project
P&amp;D = Planning &amp; Design
SP = Small Project
X = Unspecified</t>
      </text>
    </comment>
    <comment ref="A6" authorId="3" shapeId="0" xr:uid="{35A694EB-AED8-9243-9AF5-90E5E8154315}">
      <text>
        <t>[Threaded comment]
Your version of Excel allows you to read this threaded comment; however, any edits to it will get removed if the file is opened in a newer version of Excel. Learn more: https://go.microsoft.com/fwlink/?linkid=870924
Comment:
    Intended to contain the Project Name, Project No., Alternate or Option No., and date reference of publication.</t>
      </text>
    </comment>
    <comment ref="G9" authorId="4" shapeId="0" xr:uid="{B28A4F24-51A7-D841-97B0-303F28266980}">
      <text>
        <t>[Threaded comment]
Your version of Excel allows you to read this threaded comment; however, any edits to it will get removed if the file is opened in a newer version of Excel. Learn more: https://go.microsoft.com/fwlink/?linkid=870924
Comment:
    Base Date should be on or prior to revision date of Project Budget Worksheet template to maximize the actual inflation included in the budget estimate vs. estimated inflation.
Cell has conditional formatting to highlight RED if Base Date &gt; PBW Revision Date or if Base Date is more than 4 years old, highlight YELLOW if the Base Date is between 2-4 years old.</t>
      </text>
    </comment>
    <comment ref="F10" authorId="5" shapeId="0" xr:uid="{E7E27831-FB1D-4A41-A636-CD87EC66955B}">
      <text>
        <t>[Threaded comment]
Your version of Excel allows you to read this threaded comment; however, any edits to it will get removed if the file is opened in a newer version of Excel. Learn more: https://go.microsoft.com/fwlink/?linkid=870924
Comment:
    Traditionally prescribed as the Bid Date…but can be defined as the Start of Construction, Mid-Point of Construction, etc. for certain applications if required.</t>
      </text>
    </comment>
    <comment ref="G12" authorId="6" shapeId="0" xr:uid="{C0A6D5A2-DBDC-8040-AB1F-44D14390B2FE}">
      <text>
        <t>[Threaded comment]
Your version of Excel allows you to read this threaded comment; however, any edits to it will get removed if the file is opened in a newer version of Excel. Learn more: https://go.microsoft.com/fwlink/?linkid=870924
Comment:
    This value will default to the Escalation (Calculated) value above based on the Base Date and Bid Date values embedded in the ENR Index worksheet included in this workbook template. 
This value can be manually overwritten using the ENR Index values from a future Project Budget Worksheet edition to correct inflation value calculations and estimates after the initial Project Budget Worksheet creation and submittal.</t>
      </text>
    </comment>
    <comment ref="G14" authorId="7" shapeId="0" xr:uid="{73925993-D07F-4F4B-8F77-FBAA223FA221}">
      <text>
        <t>[Threaded comment]
Your version of Excel allows you to read this threaded comment; however, any edits to it will get removed if the file is opened in a newer version of Excel. Learn more: https://go.microsoft.com/fwlink/?linkid=870924
Comment:
    Occupancy Date will autocalculate based on project size and DFD guidance on project duration based on project size.</t>
      </text>
    </comment>
    <comment ref="F39" authorId="8" shapeId="0" xr:uid="{5DD1AFF3-A90C-CE4F-9A30-919439A2DEC5}">
      <text>
        <t>[Threaded comment]
Your version of Excel allows you to read this threaded comment; however, any edits to it will get removed if the file is opened in a newer version of Excel. Learn more: https://go.microsoft.com/fwlink/?linkid=870924
Comment:
    DFD Standard Trade Unit Costs: Automatically updated based on July 2011 ENR Value and the PBW Base Index Value defined above.</t>
      </text>
    </comment>
    <comment ref="G67" authorId="9" shapeId="0" xr:uid="{19C66088-064D-4B42-9B5E-EF61867D02E3}">
      <text>
        <t>[Threaded comment]
Your version of Excel allows you to read this threaded comment; however, any edits to it will get removed if the file is opened in a newer version of Excel. Learn more: https://go.microsoft.com/fwlink/?linkid=870924
Comment:
    DFD Standard Demolition Cost: Automatically updated based on July 2018 ENR Value and the PBW Base Index Value defined above.</t>
      </text>
    </comment>
    <comment ref="B130" authorId="10" shapeId="0" xr:uid="{28867496-1D6D-8047-8F05-58E4E8ED287A}">
      <text>
        <t>[Threaded comment]
Your version of Excel allows you to read this threaded comment; however, any edits to it will get removed if the file is opened in a newer version of Excel. Learn more: https://go.microsoft.com/fwlink/?linkid=870924
Comment:
    Default to 10%, but may range above or below that value dependent on size, complexity, and development status of project. Use Designer's value from feasibility study when possible. Value should be 0% if Design Report is complete.</t>
      </text>
    </comment>
    <comment ref="B131" authorId="11" shapeId="0" xr:uid="{15119643-7047-0A4C-9A84-A15476CAA8DA}">
      <text>
        <t xml:space="preserve">[Threaded comment]
Your version of Excel allows you to read this threaded comment; however, any edits to it will get removed if the file is opened in a newer version of Excel. Learn more: https://go.microsoft.com/fwlink/?linkid=870924
Comment:
    Indirect project costs, project specific costs that do not result in an asset. Use Desiger's value from Pre-Design Report when necessary (i.e. when pre-design values that are used in PBW do not already include General conditions factors). </t>
      </text>
    </comment>
    <comment ref="B132" authorId="12" shapeId="0" xr:uid="{A2CFD96E-3C5F-A44A-AEBB-5DAB98F245D5}">
      <text>
        <t xml:space="preserve">[Threaded comment]
Your version of Excel allows you to read this threaded comment; however, any edits to it will get removed if the file is opened in a newer version of Excel. Learn more: https://go.microsoft.com/fwlink/?linkid=870924
Comment:
    Indirect non-project costs. Typically ranges from 5% to 15%. Use Desiger's value from Pre-Design Report when necessary (i.e. when pre-design values that are used in PBW do not already include OH&amp;P factors). </t>
      </text>
    </comment>
    <comment ref="B140" authorId="13" shapeId="0" xr:uid="{D4EC64CB-9EB4-3045-BB8E-18F05F26F1E5}">
      <text>
        <t>[Threaded comment]
Your version of Excel allows you to read this threaded comment; however, any edits to it will get removed if the file is opened in a newer version of Excel. Learn more: https://go.microsoft.com/fwlink/?linkid=870924
Comment:
    Must be paired with the “Project Complexity Designation” to auto populate the Basic Services percentage based on the “Unescalated Construction Cost Subtotal” value.</t>
      </text>
    </comment>
    <comment ref="B141" authorId="14" shapeId="0" xr:uid="{D548B474-BC96-0644-BF11-F0DEC124D533}">
      <text>
        <t>[Threaded comment]
Your version of Excel allows you to read this threaded comment; however, any edits to it will get removed if the file is opened in a newer version of Excel. Learn more: https://go.microsoft.com/fwlink/?linkid=870924
Comment:
    Must be paired with the “Primary Scope of Work Designation” to auto populate the Basic Services percentage based on the “Unescalated Construction Cost Subtotal” value.</t>
      </text>
    </comment>
    <comment ref="B142" authorId="15" shapeId="0" xr:uid="{5E823C52-D8FC-FB40-BCC6-07EADEA1530A}">
      <text>
        <t>[Threaded comment]
Your version of Excel allows you to read this threaded comment; however, any edits to it will get removed if the file is opened in a newer version of Excel. Learn more: https://go.microsoft.com/fwlink/?linkid=870924
Comment:
    Based on three factors and values: “Primary Scope of Work Designation”, “Project Complexity Designation”, and “Unescalated Construction Cost Subtotal”…all of which are located on this page.</t>
      </text>
    </comment>
    <comment ref="D143" authorId="16" shapeId="0" xr:uid="{EE967316-3C59-4440-8764-B3A6779286A1}">
      <text>
        <t>[Threaded comment]
Your version of Excel allows you to read this threaded comment; however, any edits to it will get removed if the file is opened in a newer version of Excel. Learn more: https://go.microsoft.com/fwlink/?linkid=870924
Comment:
    Data Entry in this cell will override the calculated Fee in the Row above based on the % of Construction Cost. This cell can be used for Fees only type projects (i.e. Feasibility Studies, Master Plans, etc.) or when the user needs to match a specific $ amount that is easier to enter than to calculate.</t>
      </text>
    </comment>
    <comment ref="B144" authorId="17" shapeId="0" xr:uid="{C81183D0-C679-C547-BD91-64D118FCB9F2}">
      <text>
        <t>[Threaded comment]
Your version of Excel allows you to read this threaded comment; however, any edits to it will get removed if the file is opened in a newer version of Excel. Learn more: https://go.microsoft.com/fwlink/?linkid=870924
Comment:
    Normally 4% of A/E fee for Major Projects. Includes survey, geotechnical, and plan review.</t>
      </text>
    </comment>
    <comment ref="B147" authorId="18" shapeId="0" xr:uid="{E6C33C05-2B91-8941-A45F-7F5D6AB5F346}">
      <text>
        <t>[Threaded comment]
Your version of Excel allows you to read this threaded comment; however, any edits to it will get removed if the file is opened in a newer version of Excel. Learn more: https://go.microsoft.com/fwlink/?linkid=870924
Comment:
    Ranges from 1/2% to 1-1/4% for Major Projects.</t>
      </text>
    </comment>
    <comment ref="B149" authorId="19" shapeId="0" xr:uid="{3362ABED-CFBD-0940-9260-0D2D57E68462}">
      <text>
        <t>[Threaded comment]
Your version of Excel allows you to read this threaded comment; however, any edits to it will get removed if the file is opened in a newer version of Excel. Learn more: https://go.microsoft.com/fwlink/?linkid=870924
Comment:
    Level 1 = 0.00% - 0.25%
Level 2 = 0.15% - 1.00%</t>
      </text>
    </comment>
    <comment ref="D150" authorId="20" shapeId="0" xr:uid="{2C9D654F-0FEC-E240-8972-66056A5BC3E7}">
      <text>
        <t>[Threaded comment]
Your version of Excel allows you to read this threaded comment; however, any edits to it will get removed if the file is opened in a newer version of Excel. Learn more: https://go.microsoft.com/fwlink/?linkid=870924
Comment:
    Type  I: $50,000 - $100,000 Type II: $30,000 - $50,000</t>
      </text>
    </comment>
    <comment ref="B157" authorId="21" shapeId="0" xr:uid="{32223761-2266-B84A-BFAD-CA302C931016}">
      <text>
        <t>[Threaded comment]
Your version of Excel allows you to read this threaded comment; however, any edits to it will get removed if the file is opened in a newer version of Excel. Learn more: https://go.microsoft.com/fwlink/?linkid=870924
Comment:
    This Design Fee is a percent of the OFCI Furnishings, Fixtures, &amp; Equipment Cost Estimate. Percentages will vary based on complexity of project, FF&amp;E items, and services desired.
≤4% of FF&amp;E Budget: Selection and specification only.
≤10% of FF&amp;E Budget: Selection, specification, layout/design, and procurement assistance. 
REQUIRES DATA ENTRY IN ONE OR MORE OF THE FIVE ROWS IMMEDIATELY BELOW THIS ROW.</t>
      </text>
    </comment>
    <comment ref="B166" authorId="22" shapeId="0" xr:uid="{9C44C459-B1C9-AB41-AD8D-683A4E1FE85B}">
      <text>
        <t>[Threaded comment]
Your version of Excel allows you to read this threaded comment; however, any edits to it will get removed if the file is opened in a newer version of Excel. Learn more: https://go.microsoft.com/fwlink/?linkid=870924
Comment:
    Percent of Total Construction Cost. 15% default for all projects.</t>
      </text>
    </comment>
    <comment ref="D168" authorId="23" shapeId="0" xr:uid="{B8FCC3B0-9BF1-3B49-B1F0-DAFD6995BFD8}">
      <text>
        <t>[Threaded comment]
Your version of Excel allows you to read this threaded comment; however, any edits to it will get removed if the file is opened in a newer version of Excel. Learn more: https://go.microsoft.com/fwlink/?linkid=870924
Comment:
    4% of (Total Construction Cost + Project Contingency).</t>
      </text>
    </comment>
    <comment ref="B173" authorId="24" shapeId="0" xr:uid="{C5844CCA-C0FF-824D-BAAA-5BB80C710B4A}">
      <text>
        <t>[Threaded comment]
Your version of Excel allows you to read this threaded comment; however, any edits to it will get removed if the file is opened in a newer version of Excel. Learn more: https://go.microsoft.com/fwlink/?linkid=870924
Comment:
    Lump sum percentage of construction value + the itemized costs in the five rows below this row. Percentages will vary based on project type, how much existing FF&amp;E will be salvaged, etc. 
     - Typical project 5-10% 
     - Laboratory buildings 10-15%</t>
      </text>
    </comment>
  </commentList>
</comments>
</file>

<file path=xl/sharedStrings.xml><?xml version="1.0" encoding="utf-8"?>
<sst xmlns="http://schemas.openxmlformats.org/spreadsheetml/2006/main" count="969" uniqueCount="432">
  <si>
    <t>Trade Cost</t>
  </si>
  <si>
    <t>Category Cost</t>
  </si>
  <si>
    <t>XXX</t>
  </si>
  <si>
    <t>Academic – Multi Use</t>
  </si>
  <si>
    <t>Fine Arts Auditorium</t>
  </si>
  <si>
    <t>Laboratory Space</t>
  </si>
  <si>
    <t>Library</t>
  </si>
  <si>
    <t>For offices as part of other buildings with higher costs/ GSF use average of office cost and the other space type cost</t>
  </si>
  <si>
    <t>Residence Hall</t>
  </si>
  <si>
    <t>Student Union</t>
  </si>
  <si>
    <t>Pole Barn, includes fixed equipment</t>
  </si>
  <si>
    <t>Pole Barn, unheated</t>
  </si>
  <si>
    <t>Parking</t>
  </si>
  <si>
    <t>500 stalls</t>
  </si>
  <si>
    <t>100 stalls</t>
  </si>
  <si>
    <t>200 stalls</t>
  </si>
  <si>
    <t/>
  </si>
  <si>
    <t xml:space="preserve">PROJECT TITLE:  </t>
  </si>
  <si>
    <t>NEW BUILDING AREA</t>
  </si>
  <si>
    <t xml:space="preserve"> ASF New Const </t>
  </si>
  <si>
    <t xml:space="preserve"> GSF New Const </t>
  </si>
  <si>
    <t>REMODELING AREA</t>
  </si>
  <si>
    <t xml:space="preserve"> GSF Remodeling</t>
  </si>
  <si>
    <t xml:space="preserve"> GSF Total Bldg</t>
  </si>
  <si>
    <t>Space Category</t>
  </si>
  <si>
    <t>ASF</t>
  </si>
  <si>
    <t>Eff</t>
  </si>
  <si>
    <t>GSF</t>
  </si>
  <si>
    <t>$/GSF</t>
  </si>
  <si>
    <t>Subtotal: $</t>
  </si>
  <si>
    <t>Trade Category</t>
  </si>
  <si>
    <t>General</t>
  </si>
  <si>
    <t>Plumbing</t>
  </si>
  <si>
    <t>TOTAL  PROJECT  BUDGET  ESTIMATE</t>
  </si>
  <si>
    <t>NOTES:</t>
  </si>
  <si>
    <t>NEW CONSTRUCTION BY SPACE TYPE</t>
  </si>
  <si>
    <t>REMODELING BY SPACE TYPE</t>
  </si>
  <si>
    <t>REMODELING BY TRADE</t>
  </si>
  <si>
    <t>Revised By:</t>
  </si>
  <si>
    <t>/GSF: Total Project Cost</t>
  </si>
  <si>
    <t>/ASF: Total Project Cost</t>
  </si>
  <si>
    <t>/ASF: Construction Cost (building &amp; site)</t>
  </si>
  <si>
    <t>/GSF: Construction Cost (building &amp; site)</t>
  </si>
  <si>
    <t>Efficiency</t>
  </si>
  <si>
    <t>Remodeling</t>
  </si>
  <si>
    <t>Base Date:</t>
  </si>
  <si>
    <t>QUANTITY</t>
  </si>
  <si>
    <t>UNIT COST</t>
  </si>
  <si>
    <t>SUBTOTAL</t>
  </si>
  <si>
    <t>UNIT</t>
  </si>
  <si>
    <t>LUMP SUM</t>
  </si>
  <si>
    <t>LF</t>
  </si>
  <si>
    <t>Classrooms</t>
  </si>
  <si>
    <t>Offices</t>
  </si>
  <si>
    <t>2. Architect/Engineer Basic Services</t>
  </si>
  <si>
    <t>3. Additional Design Services</t>
  </si>
  <si>
    <t>4. Project Contingency</t>
  </si>
  <si>
    <t>1. Total Construction Cost</t>
  </si>
  <si>
    <t>ADDITIONAL CONSTRUCTION &amp; REMODELING COSTS:</t>
  </si>
  <si>
    <t>DEMO</t>
  </si>
  <si>
    <t>HAZ MATS</t>
  </si>
  <si>
    <t>HAZARDOUS MATERIALS ABATEMENT</t>
  </si>
  <si>
    <t>HEADING NAME OR ITEM CODE</t>
  </si>
  <si>
    <t>ITEM DESCRIPTION</t>
  </si>
  <si>
    <t>Notes</t>
  </si>
  <si>
    <t>CONSTRUCTION</t>
  </si>
  <si>
    <t>TOTAL CONSTRUCTION</t>
  </si>
  <si>
    <t>DESIGN FEES (BASIC)</t>
  </si>
  <si>
    <t>DESIGN FEES (OTHER)</t>
  </si>
  <si>
    <t>TOTAL DESIGN FEES</t>
  </si>
  <si>
    <t>CONTINGENCY</t>
  </si>
  <si>
    <t>MANAGEMENT FEES</t>
  </si>
  <si>
    <t>TOTAL BUDGET ESTIMATE</t>
  </si>
  <si>
    <t>X</t>
  </si>
  <si>
    <t xml:space="preserve">LOCATION:  </t>
  </si>
  <si>
    <t>5. Project Management</t>
  </si>
  <si>
    <t>Movable furnishings, kitchen appliances and fixtures, and specialty items (i.e. coolers or freezers sized for more than day use, blast freezers, large exhaust ventilation hoods) are not included in these $/GSF figures.</t>
  </si>
  <si>
    <t>Design Contingency</t>
  </si>
  <si>
    <t>Overhead &amp; Profit (OH&amp;P)</t>
  </si>
  <si>
    <t>6.  Furnishings, Fixtures, &amp; Equipment (FF&amp;E)</t>
  </si>
  <si>
    <t>FURNISHINGS, FIXTURES, &amp; EQUIPMENT (FF&amp;E): CONTRACTOR FURNISHED, CONTRACTOR INSTALLED (CFCI)</t>
  </si>
  <si>
    <t xml:space="preserve">  Furnishings, Fixtures, &amp; Equipment (FF&amp;E): Owner Furnished, Contractor Installed (OFCI)</t>
  </si>
  <si>
    <t>Furnishings, Fixtures, &amp; Equipment (FF&amp;E): Owner Furnished, Owner Installed (OFOI)</t>
  </si>
  <si>
    <t>FF&amp;E: CFCI</t>
  </si>
  <si>
    <t>FF&amp;E: OFCI</t>
  </si>
  <si>
    <t>FF&amp;E: OFOI</t>
  </si>
  <si>
    <t>ADDITIONAL CONSTRUCTION &amp; REMODELING COST SUBTOTAL</t>
  </si>
  <si>
    <t>CONSTRUCTION &amp; REMODELING COST SUBTOTAL</t>
  </si>
  <si>
    <t>NEW CONSTRUCTION &amp; REMODELING COST SUBTOTAL</t>
  </si>
  <si>
    <t>NEW CONSTRUCTION COST SUBTOTAL</t>
  </si>
  <si>
    <t>DEMOLITION (RAZING GROSS SQUARE FOOTAGE)</t>
  </si>
  <si>
    <t>FURNISHINGS, FIXTURES, &amp; EQUIPMENT (FF&amp;E)</t>
  </si>
  <si>
    <t>OWNER FURNISHED, CONTRACTOR INSTALLED (OFCI)</t>
  </si>
  <si>
    <t>OWNER FURNISHED, OWNER INSTALLED (OFOI)</t>
  </si>
  <si>
    <t>SF</t>
  </si>
  <si>
    <t>EACH</t>
  </si>
  <si>
    <t>AUTOCLAVE</t>
  </si>
  <si>
    <t>EQUIPMENT</t>
  </si>
  <si>
    <t>ATHLETICS/RECREATION</t>
  </si>
  <si>
    <t>$63,000 - $75,000/ bed</t>
  </si>
  <si>
    <t>ADDITIONAL CONSTRUCTION &amp; REMODELING COSTS</t>
  </si>
  <si>
    <t>Food Service</t>
  </si>
  <si>
    <t>Physical Education</t>
  </si>
  <si>
    <t>Agricultural</t>
  </si>
  <si>
    <t>Service and Maintenance</t>
  </si>
  <si>
    <t>Storage (Prefabricated Metal)</t>
  </si>
  <si>
    <t>Occupancy Date:</t>
  </si>
  <si>
    <t>Date Prepared:</t>
  </si>
  <si>
    <t>Prepared By:</t>
  </si>
  <si>
    <t>Month/Year</t>
  </si>
  <si>
    <t>1. HEADING #1</t>
  </si>
  <si>
    <t>2. HEADING #2</t>
  </si>
  <si>
    <t>Hazardous Materials:</t>
  </si>
  <si>
    <t>Construction:</t>
  </si>
  <si>
    <t>Total Construction:</t>
  </si>
  <si>
    <t>Design Fees (Basic):</t>
  </si>
  <si>
    <t>Design Fees (Other):</t>
  </si>
  <si>
    <t>Total Design Fees:</t>
  </si>
  <si>
    <t>Contingency:</t>
  </si>
  <si>
    <t>Management Fees:</t>
  </si>
  <si>
    <t>Furnishings/Fixtures/Eqpt:</t>
  </si>
  <si>
    <t>Total Budget Estimate:</t>
  </si>
  <si>
    <t>$</t>
  </si>
  <si>
    <t>CAPITAL PROJECT REQUEST "Project Budget" Table</t>
  </si>
  <si>
    <t>Design:</t>
  </si>
  <si>
    <t>TOTAL:</t>
  </si>
  <si>
    <t>SBC "CAPITAL BUDGET REQUEST" Table</t>
  </si>
  <si>
    <t>REMODELING COST SUBTOTAL (cell H63 will highlight red if Remodeling by Space Type and Remodeling by Trade sections are both used)</t>
  </si>
  <si>
    <t>LINE 3B</t>
  </si>
  <si>
    <t>LINE 1</t>
  </si>
  <si>
    <t>LINE 0</t>
  </si>
  <si>
    <t>LINE 3A</t>
  </si>
  <si>
    <t>LINE 4</t>
  </si>
  <si>
    <t>DEMOLITION SUBTOTAL</t>
  </si>
  <si>
    <t>DESIGN CONTINGENCY</t>
  </si>
  <si>
    <t>OVERHEAD &amp; PROFIT (OH&amp;P)</t>
  </si>
  <si>
    <t>UNESCALATED CONSTRUCTION COST SUBTOTAL</t>
  </si>
  <si>
    <t>ESCALATED CONSTRUCTION COST SUBTOTAL</t>
  </si>
  <si>
    <t>ESCALATION INCLUDED IN CONSTRUCTION COST SUBTOTAL</t>
  </si>
  <si>
    <t>CONSTRUCTION COST ANALYSIS: CONSTRUCTION COST ESCALATION VALUE CALCULATION</t>
  </si>
  <si>
    <t>FURNISHINGS, FIXTURES, &amp; EQUIPMENT COST ANALYSIS</t>
  </si>
  <si>
    <t>FF&amp;E: CONTRACTOR FURNISHED, CONTRACTOR INSTALLED (CFCI) SUBTOTAL</t>
  </si>
  <si>
    <t>FF&amp;E: CONTRACTOR FURNISHED, CONTRACTOR INSTALLED (CFCI)</t>
  </si>
  <si>
    <t>FF&amp;E: OWNER FURNISHED, CONTRACTOR INSTALLED (OFCI)</t>
  </si>
  <si>
    <t>FF&amp;E: OWNER FURNISHED, OWNER INSTALLED (OFOI)</t>
  </si>
  <si>
    <t>FF&amp;E:OFCI DESIGN FEE</t>
  </si>
  <si>
    <t>FF&amp;E:OFOI ALLOWANCE</t>
  </si>
  <si>
    <t>FURNISHINGS, FIXTURES, &amp; EQUIPMENT (FF&amp;E) SUBTOTAL</t>
  </si>
  <si>
    <t>ARCHITECT/ENGINEER DESIGN SERVICES COST ANALYSIS</t>
  </si>
  <si>
    <t>BASIC SERVICES</t>
  </si>
  <si>
    <t>REIMBURSIBLE COSTS</t>
  </si>
  <si>
    <t>ARCHITECT/ENGINEER BASIC SERVICES SUBTOTAL</t>
  </si>
  <si>
    <t>PRE-DESIGN</t>
  </si>
  <si>
    <t>LEED CERTIFICATION</t>
  </si>
  <si>
    <t>COMMISSIONING</t>
  </si>
  <si>
    <t>EIS/EIA CONSULTANT</t>
  </si>
  <si>
    <t>CONSTRUCTION TESTING</t>
  </si>
  <si>
    <t>TESTING &amp; BALANCING</t>
  </si>
  <si>
    <t>CUSTOM LINE ITEMS SUBTOTAL</t>
  </si>
  <si>
    <t>ADDITIONAL DESIGN SERVICES SUBTOTAL</t>
  </si>
  <si>
    <t>Base Date Index:</t>
  </si>
  <si>
    <t>PROJECT TYPE</t>
  </si>
  <si>
    <t>AA</t>
  </si>
  <si>
    <t>IS</t>
  </si>
  <si>
    <t>MFR</t>
  </si>
  <si>
    <t>MP</t>
  </si>
  <si>
    <t>P&amp;D</t>
  </si>
  <si>
    <t>SP</t>
  </si>
  <si>
    <t>ALL AGENCY</t>
  </si>
  <si>
    <t>INSTRUCTIONAL SPACE</t>
  </si>
  <si>
    <t>MINOR FACILITIES RENEWAL</t>
  </si>
  <si>
    <t>MAJOR PROJECT</t>
  </si>
  <si>
    <t>PLANNING &amp; DESIGN</t>
  </si>
  <si>
    <t>SMALL PROJECT</t>
  </si>
  <si>
    <t>UNSPECIFIED</t>
  </si>
  <si>
    <t>DURATION</t>
  </si>
  <si>
    <t>VF</t>
  </si>
  <si>
    <t>ACRES</t>
  </si>
  <si>
    <t>CLIMBING WALL &amp; ROPES COURSE</t>
  </si>
  <si>
    <t>CAPITAL PROJECT REQUEST "Project Budget" Table (NO INFLATION)</t>
  </si>
  <si>
    <t>START A</t>
  </si>
  <si>
    <t>END A</t>
  </si>
  <si>
    <t>START B</t>
  </si>
  <si>
    <t>END B</t>
  </si>
  <si>
    <t>YEAR</t>
  </si>
  <si>
    <t>MONTH</t>
  </si>
  <si>
    <t>COMBO</t>
  </si>
  <si>
    <t>DATE</t>
  </si>
  <si>
    <t>ANNUAL A</t>
  </si>
  <si>
    <t>MONTHLY A</t>
  </si>
  <si>
    <t>ANNUAL B</t>
  </si>
  <si>
    <t>MONTHLY B</t>
  </si>
  <si>
    <t>RATE</t>
  </si>
  <si>
    <t>BASE</t>
  </si>
  <si>
    <t>BID</t>
  </si>
  <si>
    <t>INFLATION</t>
  </si>
  <si>
    <t>FACTOR</t>
  </si>
  <si>
    <t>INDEX</t>
  </si>
  <si>
    <t>TRADE BASE</t>
  </si>
  <si>
    <t>NEW BASE</t>
  </si>
  <si>
    <t>DEMO BASE</t>
  </si>
  <si>
    <t>CAPACITY</t>
  </si>
  <si>
    <t>COST BASE</t>
  </si>
  <si>
    <t>INDEPENDENT INFLATION FACTOR SCENARIO BUILDER INFORMATION</t>
  </si>
  <si>
    <t>$/GSF RANGE</t>
  </si>
  <si>
    <t>$/STALL RANGE</t>
  </si>
  <si>
    <t>LOW END</t>
  </si>
  <si>
    <t>HIGH END</t>
  </si>
  <si>
    <t>SPACE CATEGORY</t>
  </si>
  <si>
    <t>EFFICIENCY</t>
  </si>
  <si>
    <t>COMMENTS and NOTES</t>
  </si>
  <si>
    <t>WORKSHEET INDEX (left to right worksheets organized top to bottom below)</t>
  </si>
  <si>
    <t>PBW BASE</t>
  </si>
  <si>
    <t>PBW BID</t>
  </si>
  <si>
    <t>Tab</t>
  </si>
  <si>
    <t>DEMOLITION (RAZING GROSS SQUARE FOOTAGE) INFORMATION [PBW WORKSHEET]</t>
  </si>
  <si>
    <t>REMODELING BY TRADE INFORMATION [PBW WORKSHEET]</t>
  </si>
  <si>
    <t>UNIT COST ESTIMATE INFORMATION [COST GUIDELINES WORKSHEET]</t>
  </si>
  <si>
    <t>PROJECT REQUEST INFORMATION [PBW WORKSHEET]</t>
  </si>
  <si>
    <t>KEY</t>
  </si>
  <si>
    <t>TEXT</t>
  </si>
  <si>
    <t>ACTUAL ENR INDEX VALUE (DATA ENTRY)</t>
  </si>
  <si>
    <t>ESTIMATED ENR INDEX VALUE (FORMULA)</t>
  </si>
  <si>
    <t>● Fine Arts Instructional Laboratory</t>
  </si>
  <si>
    <t>● Instructional Dry Laboratory</t>
  </si>
  <si>
    <t>● Instructional Wet Laboratory</t>
  </si>
  <si>
    <t>● Research Laboratory</t>
  </si>
  <si>
    <t>● Animal Space</t>
  </si>
  <si>
    <t>● Computer Laboratory</t>
  </si>
  <si>
    <t>● Instructional Greenhouse</t>
  </si>
  <si>
    <t>● Research Greenhouse</t>
  </si>
  <si>
    <t>● 1 story</t>
  </si>
  <si>
    <t>● 2-4 stories</t>
  </si>
  <si>
    <t>● Arena</t>
  </si>
  <si>
    <t>● Field House</t>
  </si>
  <si>
    <t>● Gymnasium/Track</t>
  </si>
  <si>
    <t>● Pool</t>
  </si>
  <si>
    <t>● Semi-Suite Doubles (Type 2)</t>
  </si>
  <si>
    <t>● Suite Style  (Type 3)</t>
  </si>
  <si>
    <t>● Animal Housing</t>
  </si>
  <si>
    <t>● Hay Storage</t>
  </si>
  <si>
    <t>● Unheated</t>
  </si>
  <si>
    <t>● Heated</t>
  </si>
  <si>
    <t>● Freestanding ramp</t>
  </si>
  <si>
    <t>● Ramp beneath building</t>
  </si>
  <si>
    <t>● Surface Lot</t>
  </si>
  <si>
    <t>NEW CONSTRUCTION &amp; REMODELING COST (from Page 1)</t>
  </si>
  <si>
    <t>DEMOLITION (from Page 2)</t>
  </si>
  <si>
    <t>ADDITIONAL CONSTRUCTION &amp; REMODELING COST (from Page 2)</t>
  </si>
  <si>
    <t>FF&amp;E: CFCI (from Page 2)</t>
  </si>
  <si>
    <t>CONSTRUCTION &amp; REMODELING COST SUBTOTAL (from Page 2)</t>
  </si>
  <si>
    <t>HAZARDOUS MATERIALS ABATEMENT (from Page 2)</t>
  </si>
  <si>
    <t>Unescalated Construction Cost Subtotal</t>
  </si>
  <si>
    <t>Basic Services (Calculated % of Construction $)</t>
  </si>
  <si>
    <t>Basic Services (Enter Direct $ for Basic A/E Fees)</t>
  </si>
  <si>
    <t>Reimbursible costs</t>
  </si>
  <si>
    <t>Pre-design</t>
  </si>
  <si>
    <t>Commissioning (Level 1 or 2)</t>
  </si>
  <si>
    <t>EIS/EIA consultant</t>
  </si>
  <si>
    <t>Construction Testing</t>
  </si>
  <si>
    <t>Testing &amp; Balancing</t>
  </si>
  <si>
    <t>Furnishings, Fixtures, &amp; Equipment (FF&amp;E) Design Fee</t>
  </si>
  <si>
    <t>Audio-Visual and Computer Equipment</t>
  </si>
  <si>
    <t>Systems Furniture</t>
  </si>
  <si>
    <t>FF&amp;E: OFCI (from #3 above)</t>
  </si>
  <si>
    <t>Surface Treatment</t>
  </si>
  <si>
    <t>Minor</t>
  </si>
  <si>
    <t>Partial</t>
  </si>
  <si>
    <t>Complete</t>
  </si>
  <si>
    <t>Special Laboratory Needs</t>
  </si>
  <si>
    <t>Heating, Ventilating, &amp; Air Conditioning</t>
  </si>
  <si>
    <t>Electrical</t>
  </si>
  <si>
    <t>Escalation Factor (NO INFLATION OPTION)</t>
  </si>
  <si>
    <t>Furnishings, Fixtures, &amp; Equipment (FF&amp;E): Owner Furnished, Contractor Installed (OFCI)</t>
  </si>
  <si>
    <t>Sustainable/Resilient Design</t>
  </si>
  <si>
    <t>Movable/Special Equipment (% of Construction $)</t>
  </si>
  <si>
    <t>Movable &amp; Special Equipment (% of Construction $)</t>
  </si>
  <si>
    <t>General Conditions</t>
  </si>
  <si>
    <t>DFD $/GSF</t>
  </si>
  <si>
    <r>
      <rPr>
        <b/>
        <sz val="10"/>
        <rFont val="Arial Narrow"/>
        <family val="2"/>
      </rPr>
      <t>New Construction Design Fee Guidance</t>
    </r>
    <r>
      <rPr>
        <sz val="10"/>
        <rFont val="Courier New"/>
        <family val="1"/>
      </rPr>
      <t xml:space="preserve">
                      Project Complexity
</t>
    </r>
    <r>
      <rPr>
        <b/>
        <sz val="10"/>
        <rFont val="Courier New"/>
        <family val="1"/>
      </rPr>
      <t>Construction Cost     HIGH |  AVG  |  LOW</t>
    </r>
    <r>
      <rPr>
        <sz val="10"/>
        <rFont val="Courier New"/>
        <family val="1"/>
      </rPr>
      <t xml:space="preserve">
</t>
    </r>
    <r>
      <rPr>
        <b/>
        <sz val="10"/>
        <rFont val="Courier New"/>
        <family val="1"/>
      </rPr>
      <t>≦ $100K:</t>
    </r>
    <r>
      <rPr>
        <sz val="10"/>
        <rFont val="Courier New"/>
        <family val="1"/>
      </rPr>
      <t xml:space="preserve">            (14.2% | 13.6% | 12.8%)
</t>
    </r>
    <r>
      <rPr>
        <b/>
        <sz val="10"/>
        <rFont val="Courier New"/>
        <family val="1"/>
      </rPr>
      <t>$100K - $500K:</t>
    </r>
    <r>
      <rPr>
        <sz val="10"/>
        <rFont val="Courier New"/>
        <family val="1"/>
      </rPr>
      <t xml:space="preserve">       (14.1% | 13.3% | 12.3%)
</t>
    </r>
    <r>
      <rPr>
        <b/>
        <sz val="10"/>
        <rFont val="Courier New"/>
        <family val="1"/>
      </rPr>
      <t>$500K - $1M:</t>
    </r>
    <r>
      <rPr>
        <sz val="10"/>
        <rFont val="Courier New"/>
        <family val="1"/>
      </rPr>
      <t xml:space="preserve">         (11.6% | 10.9% |  9.9%)
</t>
    </r>
    <r>
      <rPr>
        <b/>
        <sz val="10"/>
        <rFont val="Courier New"/>
        <family val="1"/>
      </rPr>
      <t>$1M - $2.5M:</t>
    </r>
    <r>
      <rPr>
        <sz val="10"/>
        <rFont val="Courier New"/>
        <family val="1"/>
      </rPr>
      <t xml:space="preserve">         (10.6% |  9.8% |  8.8%)
</t>
    </r>
    <r>
      <rPr>
        <b/>
        <sz val="10"/>
        <rFont val="Courier New"/>
        <family val="1"/>
      </rPr>
      <t>$2.5M - $5M:</t>
    </r>
    <r>
      <rPr>
        <sz val="10"/>
        <rFont val="Courier New"/>
        <family val="1"/>
      </rPr>
      <t xml:space="preserve">         ( 9.2% |  8.3% |  7.3%)
</t>
    </r>
    <r>
      <rPr>
        <b/>
        <sz val="10"/>
        <rFont val="Courier New"/>
        <family val="1"/>
      </rPr>
      <t>$5M - $30M:</t>
    </r>
    <r>
      <rPr>
        <sz val="10"/>
        <rFont val="Courier New"/>
        <family val="1"/>
      </rPr>
      <t xml:space="preserve">          ( 8.3% |  7.4% |  6.3%)
</t>
    </r>
    <r>
      <rPr>
        <b/>
        <sz val="10"/>
        <rFont val="Courier New"/>
        <family val="1"/>
      </rPr>
      <t>$30M - $50M:</t>
    </r>
    <r>
      <rPr>
        <sz val="10"/>
        <rFont val="Courier New"/>
        <family val="1"/>
      </rPr>
      <t xml:space="preserve">         ( 7.0% |  6.2% |  5.3%)
</t>
    </r>
    <r>
      <rPr>
        <b/>
        <sz val="10"/>
        <rFont val="Courier New"/>
        <family val="1"/>
      </rPr>
      <t xml:space="preserve">$50M+: </t>
    </r>
    <r>
      <rPr>
        <sz val="10"/>
        <rFont val="Courier New"/>
        <family val="1"/>
      </rPr>
      <t xml:space="preserve">              ( 6.1% |  5.5% |  4.7%)</t>
    </r>
  </si>
  <si>
    <r>
      <rPr>
        <b/>
        <sz val="10"/>
        <rFont val="Arial Narrow"/>
        <family val="2"/>
      </rPr>
      <t>Renovation &amp; Remodeling Design Fee Guidance</t>
    </r>
    <r>
      <rPr>
        <sz val="10"/>
        <rFont val="Courier New"/>
        <family val="1"/>
      </rPr>
      <t xml:space="preserve">
                      Project Complexity
</t>
    </r>
    <r>
      <rPr>
        <b/>
        <sz val="10"/>
        <rFont val="Courier New"/>
        <family val="1"/>
      </rPr>
      <t>Construction Cost     HIGH |  AVG  |  LOW</t>
    </r>
    <r>
      <rPr>
        <sz val="10"/>
        <rFont val="Courier New"/>
        <family val="1"/>
      </rPr>
      <t xml:space="preserve">
</t>
    </r>
    <r>
      <rPr>
        <b/>
        <sz val="10"/>
        <rFont val="Courier New"/>
        <family val="1"/>
      </rPr>
      <t xml:space="preserve">≦ $100K: </t>
    </r>
    <r>
      <rPr>
        <sz val="10"/>
        <rFont val="Courier New"/>
        <family val="1"/>
      </rPr>
      <t xml:space="preserve">           (16.0% | 14.0% | 13.0%)
</t>
    </r>
    <r>
      <rPr>
        <b/>
        <sz val="10"/>
        <rFont val="Courier New"/>
        <family val="1"/>
      </rPr>
      <t>$100K - $500K:</t>
    </r>
    <r>
      <rPr>
        <sz val="10"/>
        <rFont val="Courier New"/>
        <family val="1"/>
      </rPr>
      <t xml:space="preserve">       (14.3% | 13.5% | 12.5%)
</t>
    </r>
    <r>
      <rPr>
        <b/>
        <sz val="10"/>
        <rFont val="Courier New"/>
        <family val="1"/>
      </rPr>
      <t>$500K - $1M:</t>
    </r>
    <r>
      <rPr>
        <sz val="10"/>
        <rFont val="Courier New"/>
        <family val="1"/>
      </rPr>
      <t xml:space="preserve">         (12.0% | 11.1% | 10.1%)
</t>
    </r>
    <r>
      <rPr>
        <b/>
        <sz val="10"/>
        <rFont val="Courier New"/>
        <family val="1"/>
      </rPr>
      <t>$1M - $2.5M:</t>
    </r>
    <r>
      <rPr>
        <sz val="10"/>
        <rFont val="Courier New"/>
        <family val="1"/>
      </rPr>
      <t xml:space="preserve">         (10.9% |  9.9% |  8.9%)
</t>
    </r>
    <r>
      <rPr>
        <b/>
        <sz val="10"/>
        <rFont val="Courier New"/>
        <family val="1"/>
      </rPr>
      <t>$2.5M - $5M:</t>
    </r>
    <r>
      <rPr>
        <sz val="10"/>
        <rFont val="Courier New"/>
        <family val="1"/>
      </rPr>
      <t xml:space="preserve">         ( 9.4% |  8.5% |  7.4%)
</t>
    </r>
    <r>
      <rPr>
        <b/>
        <sz val="10"/>
        <rFont val="Courier New"/>
        <family val="1"/>
      </rPr>
      <t>$5M - $30M:</t>
    </r>
    <r>
      <rPr>
        <sz val="10"/>
        <rFont val="Courier New"/>
        <family val="1"/>
      </rPr>
      <t xml:space="preserve">          ( 8.4% |  7.5% |  6.4%)
</t>
    </r>
    <r>
      <rPr>
        <b/>
        <sz val="10"/>
        <rFont val="Courier New"/>
        <family val="1"/>
      </rPr>
      <t>$30M - $50M:</t>
    </r>
    <r>
      <rPr>
        <sz val="10"/>
        <rFont val="Courier New"/>
        <family val="1"/>
      </rPr>
      <t xml:space="preserve">         ( 7.1% |  6.3% |  5.4%)
</t>
    </r>
    <r>
      <rPr>
        <b/>
        <sz val="10"/>
        <rFont val="Courier New"/>
        <family val="1"/>
      </rPr>
      <t xml:space="preserve">$50M+: </t>
    </r>
    <r>
      <rPr>
        <sz val="10"/>
        <rFont val="Courier New"/>
        <family val="1"/>
      </rPr>
      <t xml:space="preserve">              ( 6.2% |  5.6% |  4.8%)</t>
    </r>
  </si>
  <si>
    <t>UNIVERSITIES of WISCONSIN</t>
  </si>
  <si>
    <t>UW-STEVENS POINT</t>
  </si>
  <si>
    <t>LOCATION</t>
  </si>
  <si>
    <t>UW-EAU CLAIRE</t>
  </si>
  <si>
    <t>UW-GREEN BAY</t>
  </si>
  <si>
    <t>UW-LA CROSSE</t>
  </si>
  <si>
    <t>UW-MADISON</t>
  </si>
  <si>
    <t>UW-MILWAUKEE</t>
  </si>
  <si>
    <t>UW-OSHKOSH</t>
  </si>
  <si>
    <t>UW-PARKSIDE</t>
  </si>
  <si>
    <t>UW-PLATTEVILLE</t>
  </si>
  <si>
    <t>UW-RIVER FALLS</t>
  </si>
  <si>
    <t>UW-STOUT</t>
  </si>
  <si>
    <t>UW-SUPERIOR</t>
  </si>
  <si>
    <t>UW-WHITEWATER</t>
  </si>
  <si>
    <t>UW SYSTEM</t>
  </si>
  <si>
    <t>SYSTEMWIDE</t>
  </si>
  <si>
    <t>MULTI-INSTITUTION</t>
  </si>
  <si>
    <t>TODAY</t>
  </si>
  <si>
    <t>TODAY-730</t>
  </si>
  <si>
    <t>TODAY-1460</t>
  </si>
  <si>
    <t>Builder's Risk Insurance Policy</t>
  </si>
  <si>
    <t>Escalated Construction Cost Subtotal</t>
  </si>
  <si>
    <t>Escalation Factor</t>
  </si>
  <si>
    <t>PERCENTAGE</t>
  </si>
  <si>
    <t>BUILDER'S INSURANCE POLICY THRESHOLDS</t>
  </si>
  <si>
    <t>CONSTRUCTION COST</t>
  </si>
  <si>
    <t>Construction Cost Threshold</t>
  </si>
  <si>
    <t>Occupancy:</t>
  </si>
  <si>
    <r>
      <t xml:space="preserve">REMODELING COST SUBTOTAL </t>
    </r>
    <r>
      <rPr>
        <sz val="8"/>
        <color theme="0" tint="-0.34998626667073579"/>
        <rFont val="Aptos Narrow"/>
      </rPr>
      <t>(cell will highlight red if Remodeling by Space Type and Remodeling by Trade sections are both used)</t>
    </r>
  </si>
  <si>
    <t>DFD Fee:</t>
  </si>
  <si>
    <t>Inflation</t>
  </si>
  <si>
    <t>Equipment:</t>
  </si>
  <si>
    <t>Inflation:</t>
  </si>
  <si>
    <t>DOA CAPITAL BUDGET REQUEST APPLICATION INFLATION (2025-27)</t>
  </si>
  <si>
    <t>INFLATION OPTIONS</t>
  </si>
  <si>
    <t>NORMAL</t>
  </si>
  <si>
    <t>NO INFLATION</t>
  </si>
  <si>
    <t>2025-27 CBR</t>
  </si>
  <si>
    <t>Inflation Option</t>
  </si>
  <si>
    <t>TOTAL PROJECT ESTIMATE:</t>
  </si>
  <si>
    <t>Specify Additional Design Service A</t>
  </si>
  <si>
    <t>Specify Additional Design Service B</t>
  </si>
  <si>
    <t>Specify Additional Design Service C</t>
  </si>
  <si>
    <t>Specify Additional Design Service D</t>
  </si>
  <si>
    <t>Function A</t>
  </si>
  <si>
    <t>Function B</t>
  </si>
  <si>
    <t>Function C</t>
  </si>
  <si>
    <t>Function D</t>
  </si>
  <si>
    <t>Function E</t>
  </si>
  <si>
    <t>Function F</t>
  </si>
  <si>
    <t>Function G</t>
  </si>
  <si>
    <t>Function H</t>
  </si>
  <si>
    <t>Function I</t>
  </si>
  <si>
    <t>Function J</t>
  </si>
  <si>
    <t>Function K</t>
  </si>
  <si>
    <t>Function L</t>
  </si>
  <si>
    <t>Function M</t>
  </si>
  <si>
    <t>Function N</t>
  </si>
  <si>
    <t>Specify FF&amp;E (OFCI) Title(s), Type(s), and Budget Estimate Lump Sum A</t>
  </si>
  <si>
    <t>Specify FF&amp;E (OFCI) Title(s), Type(s), and Budget Estimate Lump Sum B</t>
  </si>
  <si>
    <t>Specify FF&amp;E (OFCI) Title(s), Type(s), and Budget Estimate Lump Sum C</t>
  </si>
  <si>
    <t>Specify FF&amp;E (OFCI) Title(s), Type(s), and Budget Estimate Lump Sum D</t>
  </si>
  <si>
    <t>Specify FF&amp;E (OFOI) Title(s), Type(s), and Budget Estimate Lump Sum A</t>
  </si>
  <si>
    <t>Specify FF&amp;E (OFOI) Title(s), Type(s), and Budget Estimate Lump Sum B</t>
  </si>
  <si>
    <t>Specify FF&amp;E (OFOI) Title(s), Type(s), and Budget Estimate Lump Sum C</t>
  </si>
  <si>
    <t xml:space="preserve">OPTION TITLE:  </t>
  </si>
  <si>
    <t>ENR Index</t>
  </si>
  <si>
    <t>PROJECT TYPE ID:</t>
  </si>
  <si>
    <t>PBW_ALTERNATE_SUMMARY</t>
  </si>
  <si>
    <t>LOW</t>
  </si>
  <si>
    <t>HIGH</t>
  </si>
  <si>
    <t>AVERAGE</t>
  </si>
  <si>
    <t>BUDGET RANGE</t>
  </si>
  <si>
    <t>CONSTRUCTION COMPLEXITY</t>
  </si>
  <si>
    <t>RENOVATION COMPLEXITY</t>
  </si>
  <si>
    <t>BLANK</t>
  </si>
  <si>
    <t>NULL</t>
  </si>
  <si>
    <t>DESIGN FEES</t>
  </si>
  <si>
    <t>BUDGET_START</t>
  </si>
  <si>
    <t>BUDGET_END</t>
  </si>
  <si>
    <t>LOW_CNST</t>
  </si>
  <si>
    <t>AVERAGE_CNST</t>
  </si>
  <si>
    <t>HIGH_CNST</t>
  </si>
  <si>
    <t>LOW_RENV</t>
  </si>
  <si>
    <t>AVERAGE_RENV</t>
  </si>
  <si>
    <t>HIGH_RENV</t>
  </si>
  <si>
    <t>DESIGN FEE TYPE</t>
  </si>
  <si>
    <t>RENOVATION</t>
  </si>
  <si>
    <t>COMPLEXITY FACTOR</t>
  </si>
  <si>
    <t>Inflation Date:</t>
  </si>
  <si>
    <t>Inflation Factor C (Calculated):</t>
  </si>
  <si>
    <t>Inflation Factor O (Override):</t>
  </si>
  <si>
    <t>Inflation Delta (O-C):</t>
  </si>
  <si>
    <t>Inflation Date Index:</t>
  </si>
  <si>
    <t>Inflation Factor:</t>
  </si>
  <si>
    <t>Primary Scope of Work Designation:</t>
  </si>
  <si>
    <t>Project Complexity Designation:</t>
  </si>
  <si>
    <r>
      <t xml:space="preserve">This budget worksheet should be flexible enough for all capital project request types: </t>
    </r>
    <r>
      <rPr>
        <i/>
        <sz val="10"/>
        <rFont val="Arial Narrow"/>
        <family val="2"/>
      </rPr>
      <t>Small Projects, All Agency Projects, Instructional Space Projects, Minor Facilities Renewal Projects, enumerated Major Projects, and UW Managed projects</t>
    </r>
    <r>
      <rPr>
        <sz val="10"/>
        <rFont val="Arial Narrow"/>
        <family val="2"/>
      </rPr>
      <t>.</t>
    </r>
    <r>
      <rPr>
        <sz val="10"/>
        <color rgb="FF0000FF"/>
        <rFont val="Arial Narrow"/>
        <family val="2"/>
      </rPr>
      <t xml:space="preserve"> </t>
    </r>
    <r>
      <rPr>
        <sz val="10"/>
        <rFont val="Arial Narrow"/>
        <family val="2"/>
      </rPr>
      <t xml:space="preserve">All </t>
    </r>
    <r>
      <rPr>
        <sz val="10"/>
        <color theme="8" tint="-0.249977111117893"/>
        <rFont val="Arial Narrow"/>
        <family val="2"/>
      </rPr>
      <t>dark teal text fields</t>
    </r>
    <r>
      <rPr>
        <sz val="10"/>
        <rFont val="Arial Narrow"/>
        <family val="2"/>
      </rPr>
      <t xml:space="preserve"> are unlocked and intended for user entry and definition. All other fields are locked and protected from user entry or modification.</t>
    </r>
  </si>
  <si>
    <r>
      <rPr>
        <b/>
        <u/>
        <sz val="10"/>
        <color theme="8" tint="-0.249977111117893"/>
        <rFont val="Arial Narrow"/>
        <family val="2"/>
      </rPr>
      <t>NOTE:</t>
    </r>
    <r>
      <rPr>
        <sz val="10"/>
        <color theme="8" tint="-0.249977111117893"/>
        <rFont val="Arial Narrow"/>
        <family val="2"/>
      </rPr>
      <t xml:space="preserve"> If a 3rd party detailed budget estimate already exists in some other format, it is recommended those construction costs be entered as a lump sum item and the detailed budget estimate be referenced in the line item description vs. recreating the detail in this budget worksheet. If a 3rd party detailed budget estimate is not taken in whole as the basis for this budget estimate, the pertinent detail should be recreated here and be easily referenced and discoverable in the 3rd party estimate in terms of line item organization and terminology.</t>
    </r>
  </si>
  <si>
    <r>
      <rPr>
        <b/>
        <sz val="10"/>
        <rFont val="Arial Narrow"/>
        <family val="2"/>
      </rPr>
      <t>Architectural/Engineering Basic Design Fees Guidance:</t>
    </r>
    <r>
      <rPr>
        <sz val="10"/>
        <rFont val="Arial Narrow"/>
        <family val="2"/>
      </rPr>
      <t xml:space="preserve"> Current as per DFD's biennial capital budget instructions (2025-27). Outlined below for ease of reading since new Excel in-cell Comments do not allow formatted text.</t>
    </r>
  </si>
  <si>
    <t>OLD MAIN MEMORIAL HALL ADDITION &amp; RENOVATION - PHASE VIII + ALTERNATE X</t>
  </si>
  <si>
    <t>UWSA</t>
  </si>
  <si>
    <t>PRE-DESIGN (APRIL 2024)</t>
  </si>
  <si>
    <t>ENTRANCE/LOBBY</t>
  </si>
  <si>
    <t>CLASSROOMS</t>
  </si>
  <si>
    <t>LABORATORIES</t>
  </si>
  <si>
    <t>OFFICES</t>
  </si>
  <si>
    <t>STORAGE</t>
  </si>
  <si>
    <t>MULTI-PURPOSE</t>
  </si>
  <si>
    <t>SUSPENDED ACOUSTICAL CEILING PANELS</t>
  </si>
  <si>
    <t>UPDATED UNIT COST FROM CONTRACTOR</t>
  </si>
  <si>
    <t>BASED ON PROJECT NO. 88X8X</t>
  </si>
  <si>
    <t>3. HEADING #3</t>
  </si>
  <si>
    <t>HEADING #1, COST ITEM A</t>
  </si>
  <si>
    <t>HEADING #1, COST ITEM B</t>
  </si>
  <si>
    <t>HEADING #1, COST ITEM C</t>
  </si>
  <si>
    <t>HEADING #2, COST ITEM D</t>
  </si>
  <si>
    <t>HEADING #2, COST ITEM E</t>
  </si>
  <si>
    <t>HEADING #2, COST ITEM F</t>
  </si>
  <si>
    <t>HEADING #2, COST ITEM G</t>
  </si>
  <si>
    <t>HEADING #3, COST ITEM H</t>
  </si>
  <si>
    <t>HEADING #3, COST ITEM I</t>
  </si>
  <si>
    <t>HEADING #3, COST ITEM J</t>
  </si>
  <si>
    <t>HEADING #3, COST ITEM K</t>
  </si>
  <si>
    <t>… OR …</t>
  </si>
  <si>
    <t>PROJECT NO. 88X8X</t>
  </si>
  <si>
    <t>PRE-DESIGN BUDGET ESTIMATE (APRIL 1, 2024 pp. 88 - 99)</t>
  </si>
  <si>
    <t>ALLOWANCE</t>
  </si>
  <si>
    <t>LEGOS</t>
  </si>
  <si>
    <t>TELESCOPING BLEACHERS, CONTROLS, &amp; COVERS</t>
  </si>
  <si>
    <t>FURNSHINGS</t>
  </si>
  <si>
    <t>HAZARDOUS MATERIALS DESIGN</t>
  </si>
  <si>
    <t>GEOTCHNICAL SURVEY</t>
  </si>
  <si>
    <t>LABORATORY CASEWORK, MOBILE WORKSTATIONS</t>
  </si>
  <si>
    <t>MOBILE INFORMATION &amp; LIBRARY KIOSKS</t>
  </si>
  <si>
    <r>
      <rPr>
        <b/>
        <sz val="10"/>
        <rFont val="Arial Narrow"/>
        <family val="2"/>
      </rPr>
      <t xml:space="preserve"> [PBW]: </t>
    </r>
    <r>
      <rPr>
        <sz val="10"/>
        <rFont val="Arial Narrow"/>
        <family val="2"/>
      </rPr>
      <t xml:space="preserve"> Project Budget Worksheet template and primary worksheet intended for user entry/modification.</t>
    </r>
  </si>
  <si>
    <r>
      <rPr>
        <b/>
        <sz val="10"/>
        <rFont val="Arial Narrow"/>
        <family val="2"/>
      </rPr>
      <t xml:space="preserve"> [PBW_ALTERNATE_SUMMARY]: </t>
    </r>
    <r>
      <rPr>
        <sz val="10"/>
        <rFont val="Arial Narrow"/>
        <family val="2"/>
      </rPr>
      <t xml:space="preserve"> Summarizes and maps content from [PBW_ALTERNATE] worksheet.</t>
    </r>
  </si>
  <si>
    <r>
      <rPr>
        <b/>
        <sz val="10"/>
        <rFont val="Arial Narrow"/>
        <family val="2"/>
      </rPr>
      <t xml:space="preserve"> [READ ME]:</t>
    </r>
    <r>
      <rPr>
        <sz val="10"/>
        <rFont val="Arial Narrow"/>
        <family val="2"/>
      </rPr>
      <t xml:space="preserve">  Provides Worksheet Index and some narrative directions and references to template contents and intents.</t>
    </r>
  </si>
  <si>
    <r>
      <rPr>
        <b/>
        <sz val="10"/>
        <rFont val="Arial Narrow"/>
        <family val="2"/>
      </rPr>
      <t xml:space="preserve"> [COST GUIDELINES]: </t>
    </r>
    <r>
      <rPr>
        <sz val="10"/>
        <rFont val="Arial Narrow"/>
        <family val="2"/>
      </rPr>
      <t xml:space="preserve"> Unit construction cost ranges and reference for various building space types. Auto-inflates costs based on ENR.</t>
    </r>
  </si>
  <si>
    <r>
      <rPr>
        <b/>
        <sz val="10"/>
        <rFont val="Arial Narrow"/>
        <family val="2"/>
      </rPr>
      <t xml:space="preserve"> [PBW_SUMMARY]: </t>
    </r>
    <r>
      <rPr>
        <sz val="10"/>
        <rFont val="Arial Narrow"/>
        <family val="2"/>
      </rPr>
      <t xml:space="preserve"> Summarizes and maps content from [PBW] worksheet. Provides budget table for copy/paste into CPR.</t>
    </r>
  </si>
  <si>
    <r>
      <rPr>
        <b/>
        <sz val="10"/>
        <rFont val="Arial Narrow"/>
        <family val="2"/>
      </rPr>
      <t xml:space="preserve"> [PBW_ALTERNATE]:</t>
    </r>
    <r>
      <rPr>
        <sz val="10"/>
        <rFont val="Arial Narrow"/>
        <family val="2"/>
      </rPr>
      <t xml:space="preserve">  Maps content from [PBW] worksheet, provides alternate Inflation Factor(s) to modify budget estimate.</t>
    </r>
  </si>
  <si>
    <r>
      <rPr>
        <b/>
        <sz val="10"/>
        <rFont val="Arial Narrow"/>
        <family val="2"/>
      </rPr>
      <t xml:space="preserve"> [ENR]: </t>
    </r>
    <r>
      <rPr>
        <sz val="10"/>
        <rFont val="Arial Narrow"/>
        <family val="2"/>
      </rPr>
      <t xml:space="preserve"> Engineering New Record's Building Cost Index History and Forecast based on prescribed inflation rates.</t>
    </r>
  </si>
  <si>
    <r>
      <rPr>
        <b/>
        <sz val="10"/>
        <rFont val="Arial Narrow"/>
        <family val="2"/>
      </rPr>
      <t xml:space="preserve"> [SAMPLE]: </t>
    </r>
    <r>
      <rPr>
        <sz val="10"/>
        <rFont val="Arial Narrow"/>
        <family val="2"/>
      </rPr>
      <t xml:space="preserve"> Guide &amp; Sample of the PBW Worksheet, intended to show completed template and formatting/nomenclature standards.</t>
    </r>
  </si>
  <si>
    <r>
      <rPr>
        <b/>
        <sz val="10"/>
        <rFont val="Arial Narrow"/>
        <family val="2"/>
      </rPr>
      <t xml:space="preserve"> [LOOKUPS]:  </t>
    </r>
    <r>
      <rPr>
        <sz val="10"/>
        <rFont val="Arial Narrow"/>
        <family val="2"/>
      </rPr>
      <t>Various lookup tables (i.e. version ID, universities list, project types, etc.) for use in PBW workbook template.</t>
    </r>
  </si>
  <si>
    <r>
      <t>The [PBW] worksheet allows renovation costs estimates to be conducted using a "</t>
    </r>
    <r>
      <rPr>
        <b/>
        <sz val="10"/>
        <rFont val="Arial Narrow"/>
        <family val="2"/>
      </rPr>
      <t>Remodeling by Space Type</t>
    </r>
    <r>
      <rPr>
        <sz val="10"/>
        <rFont val="Arial Narrow"/>
        <family val="2"/>
      </rPr>
      <t>" and/or "</t>
    </r>
    <r>
      <rPr>
        <b/>
        <sz val="10"/>
        <rFont val="Arial Narrow"/>
        <family val="2"/>
      </rPr>
      <t>Remodeling by Trade</t>
    </r>
    <r>
      <rPr>
        <sz val="10"/>
        <rFont val="Arial Narrow"/>
        <family val="2"/>
      </rPr>
      <t xml:space="preserve">" methodologies. Using both methodologies in a single budget estimate would be unusual and could lead to duplicative cost estimates. </t>
    </r>
    <r>
      <rPr>
        <b/>
        <sz val="10"/>
        <color theme="8" tint="-0.249977111117893"/>
        <rFont val="Arial Narrow"/>
        <family val="2"/>
      </rPr>
      <t>Use with caution.</t>
    </r>
    <r>
      <rPr>
        <b/>
        <sz val="10"/>
        <color rgb="FFAC1B5A"/>
        <rFont val="Arial Narrow"/>
        <family val="2"/>
      </rPr>
      <t xml:space="preserve"> </t>
    </r>
    <r>
      <rPr>
        <sz val="10"/>
        <rFont val="Arial Narrow"/>
        <family val="2"/>
      </rPr>
      <t xml:space="preserve">The "Remodeling by Trade" line items now include a </t>
    </r>
    <r>
      <rPr>
        <b/>
        <sz val="10"/>
        <rFont val="Arial Narrow"/>
        <family val="2"/>
      </rPr>
      <t>Notes</t>
    </r>
    <r>
      <rPr>
        <sz val="10"/>
        <rFont val="Arial Narrow"/>
        <family val="2"/>
      </rPr>
      <t xml:space="preserve"> field for user text entry to clarify, further define, and/or re-define the standard category terms. The Notes field should be used when the standard unit costs are overwritten by the user. Cell H63 will automatically highlight in red if both "Remodeling by Space Type" and "Remodeling by Trade" section are used.</t>
    </r>
  </si>
  <si>
    <r>
      <t>Since capital projects seeking Board of Regents (BOR) and/or State Building Commission (SBC) authority to constuct require feasibility and/or pre-design estimates, the budget worksheet has been designed to offer maximum flexibility in the arrangement and organization of the line items. Page 2 is esentially a blank sheet with a few structured sections to organize specific types of cost estimate items. Smart code identifiers (</t>
    </r>
    <r>
      <rPr>
        <i/>
        <sz val="10"/>
        <rFont val="Arial Narrow"/>
        <family val="2"/>
      </rPr>
      <t>i.e. MasterFormat or UniFormat</t>
    </r>
    <r>
      <rPr>
        <sz val="10"/>
        <rFont val="Arial Narrow"/>
        <family val="2"/>
      </rPr>
      <t>) can be entered; quantity/unit of measure/unit costs must be entered to calculate the line item cost; and the user determines the organization headings and can arrange the information to their specification.</t>
    </r>
  </si>
  <si>
    <r>
      <t>The "</t>
    </r>
    <r>
      <rPr>
        <b/>
        <sz val="10"/>
        <rFont val="Arial Narrow"/>
        <family val="2"/>
      </rPr>
      <t>Base Date</t>
    </r>
    <r>
      <rPr>
        <sz val="10"/>
        <rFont val="Arial Narrow"/>
        <family val="2"/>
      </rPr>
      <t>" and "</t>
    </r>
    <r>
      <rPr>
        <b/>
        <sz val="10"/>
        <rFont val="Arial Narrow"/>
        <family val="2"/>
      </rPr>
      <t>Inflation Date</t>
    </r>
    <r>
      <rPr>
        <sz val="10"/>
        <rFont val="Arial Narrow"/>
        <family val="2"/>
      </rPr>
      <t>" cells allow use of any combination of month and year from January 2011 - December 2050. Consequently, the [ENR] worksheet lookup table has also been expanded to allow lookup of inflation values for any combination of Base Date and Inflation Date. There are three fields for ENR Inflation factors on Page 1. "</t>
    </r>
    <r>
      <rPr>
        <b/>
        <sz val="10"/>
        <rFont val="Arial Narrow"/>
        <family val="2"/>
      </rPr>
      <t>Inflation Factor C (Calculated)</t>
    </r>
    <r>
      <rPr>
        <sz val="10"/>
        <rFont val="Arial Narrow"/>
        <family val="2"/>
      </rPr>
      <t xml:space="preserve">" is a lookup of the inflation factor based on the Base Date and Escalation Date data entry values in this worksheet and the projections contained in the embedded ENR Index worksheet. </t>
    </r>
    <r>
      <rPr>
        <b/>
        <sz val="10"/>
        <rFont val="Arial Narrow"/>
        <family val="2"/>
      </rPr>
      <t>"Inflation Factor O (Override)</t>
    </r>
    <r>
      <rPr>
        <sz val="10"/>
        <rFont val="Arial Narrow"/>
        <family val="2"/>
      </rPr>
      <t>" defaults to the "</t>
    </r>
    <r>
      <rPr>
        <b/>
        <sz val="10"/>
        <rFont val="Arial Narrow"/>
        <family val="2"/>
      </rPr>
      <t>Inflation Factor C (Calculated)</t>
    </r>
    <r>
      <rPr>
        <sz val="10"/>
        <rFont val="Arial Narrow"/>
        <family val="2"/>
      </rPr>
      <t>" value, but can be manually overwrtten by the user using a future PBW template with updated and corrected [ENR] worksheet values. Manual overrides below the default will highlight in red, above the default will highlight in yellow, and unchanged will highlight in green. "</t>
    </r>
    <r>
      <rPr>
        <b/>
        <sz val="10"/>
        <rFont val="Arial Narrow"/>
        <family val="2"/>
      </rPr>
      <t>Inflation Delta (O - C)</t>
    </r>
    <r>
      <rPr>
        <sz val="10"/>
        <rFont val="Arial Narrow"/>
        <family val="2"/>
      </rPr>
      <t xml:space="preserve">" calculates the difference between the default value embedded in the [ENR] worksheet and the manual override. [ENR] worksheet values in BLACK TEXT are actual values, </t>
    </r>
    <r>
      <rPr>
        <sz val="10"/>
        <color rgb="FF0070C0"/>
        <rFont val="Arial Narrow"/>
        <family val="2"/>
      </rPr>
      <t>BLUE TEXT</t>
    </r>
    <r>
      <rPr>
        <sz val="10"/>
        <rFont val="Arial Narrow"/>
        <family val="2"/>
      </rPr>
      <t xml:space="preserve"> is projected/estimated based on the Annual Inflation Factor Estimate at the top of the worksheet.</t>
    </r>
  </si>
  <si>
    <r>
      <rPr>
        <b/>
        <sz val="10"/>
        <rFont val="Arial Narrow"/>
        <family val="2"/>
      </rPr>
      <t xml:space="preserve">Furnishings, Fixtures, and Equipment (FF&amp;E): </t>
    </r>
    <r>
      <rPr>
        <sz val="10"/>
        <rFont val="Arial Narrow"/>
        <family val="2"/>
      </rPr>
      <t xml:space="preserve">There are three distinct sections of the [PBW] worksheet design to handle FF&amp;E cost estimate items. </t>
    </r>
    <r>
      <rPr>
        <b/>
        <sz val="10"/>
        <rFont val="Arial Narrow"/>
        <family val="2"/>
      </rPr>
      <t>Contractor Furnished, Contractor Installed (CFCI)</t>
    </r>
    <r>
      <rPr>
        <sz val="10"/>
        <rFont val="Arial Narrow"/>
        <family val="2"/>
      </rPr>
      <t xml:space="preserve"> items should be entered at the bottom of Page 2, and these items are then integrated into the Construction Cost line. </t>
    </r>
    <r>
      <rPr>
        <b/>
        <sz val="10"/>
        <rFont val="Arial Narrow"/>
        <family val="2"/>
      </rPr>
      <t>Owner Furnished, Contractor Installed (OFCI)</t>
    </r>
    <r>
      <rPr>
        <sz val="10"/>
        <rFont val="Arial Narrow"/>
        <family val="2"/>
      </rPr>
      <t xml:space="preserve"> items should be entered at the bottom of Section 3 "Additional Design Services" on Page 3 along with the associated </t>
    </r>
    <r>
      <rPr>
        <b/>
        <sz val="10"/>
        <rFont val="Arial Narrow"/>
        <family val="2"/>
      </rPr>
      <t>FF&amp;E Design Fee</t>
    </r>
    <r>
      <rPr>
        <sz val="10"/>
        <rFont val="Arial Narrow"/>
        <family val="2"/>
      </rPr>
      <t xml:space="preserve">. </t>
    </r>
    <r>
      <rPr>
        <b/>
        <sz val="10"/>
        <rFont val="Arial Narrow"/>
        <family val="2"/>
      </rPr>
      <t>Owner Furnished</t>
    </r>
    <r>
      <rPr>
        <sz val="10"/>
        <rFont val="Arial Narrow"/>
        <family val="2"/>
      </rPr>
      <t xml:space="preserve">. The </t>
    </r>
    <r>
      <rPr>
        <b/>
        <sz val="10"/>
        <rFont val="Arial Narrow"/>
        <family val="2"/>
      </rPr>
      <t>Owner Installed (OFOI)</t>
    </r>
    <r>
      <rPr>
        <sz val="10"/>
        <rFont val="Arial Narrow"/>
        <family val="2"/>
      </rPr>
      <t xml:space="preserve"> items should be entered in Section 6 on Page 3. These OFOI cost items can include specific line items and/or a percent of Construction Cost calculation. </t>
    </r>
  </si>
  <si>
    <r>
      <t xml:space="preserve">At the bottom of the </t>
    </r>
    <r>
      <rPr>
        <b/>
        <sz val="10"/>
        <rFont val="Arial Narrow"/>
        <family val="2"/>
      </rPr>
      <t>[PBW_SUMMARY]</t>
    </r>
    <r>
      <rPr>
        <sz val="10"/>
        <rFont val="Arial Narrow"/>
        <family val="2"/>
      </rPr>
      <t xml:space="preserve"> worksheet is a table which can be selected, copied, and pasted directly into the Capital Project Request's (CPR) Project Budget section. The table  formatting is identical in cell and font size, style, and color.</t>
    </r>
  </si>
  <si>
    <t>Rev. 2025-05BR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</si>
</sst>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General_)"/>
    <numFmt numFmtId="165" formatCode="0.00_)"/>
    <numFmt numFmtId="166" formatCode="0.0%"/>
    <numFmt numFmtId="167" formatCode="0_)"/>
    <numFmt numFmtId="168" formatCode="[$-409]mmm\-yy;@"/>
    <numFmt numFmtId="169" formatCode="mm/dd/yy;@"/>
    <numFmt numFmtId="170" formatCode="&quot;$&quot;#,##0"/>
    <numFmt numFmtId="171" formatCode="mm/yyyy"/>
    <numFmt numFmtId="172" formatCode="_([$$-409]* #,##0_);_([$$-409]* \(#,##0\);_([$$-409]* &quot;-&quot;_);_(@_)"/>
    <numFmt numFmtId="173" formatCode="#,##0.00_ ;[Red]\-#,##0.00\ "/>
    <numFmt numFmtId="174" formatCode="0.000"/>
    <numFmt numFmtId="175" formatCode="_(&quot;$&quot;* #,##0_);_(&quot;$&quot;* \(#,##0\);_(&quot;$&quot;* &quot;-&quot;??_);_(@_)"/>
    <numFmt numFmtId="176" formatCode="_(&quot;$&quot;* #,##0.00_);_(&quot;$&quot;* \(#,##0.00\);_(&quot;$&quot;* &quot;-&quot;_);_(@_)"/>
    <numFmt numFmtId="177" formatCode="0.0000"/>
    <numFmt numFmtId="178" formatCode="0_);[Red]\(0\)"/>
    <numFmt numFmtId="179" formatCode="0.0000%"/>
    <numFmt numFmtId="180" formatCode="0.0000_);[Red]\(0.0000\)"/>
    <numFmt numFmtId="181" formatCode="0.0000_ ;[Red]\-0.0000\ "/>
    <numFmt numFmtId="182" formatCode="0.0000_)"/>
    <numFmt numFmtId="183" formatCode="#,##0.0000_);[Red]\(#,##0.0000\)"/>
    <numFmt numFmtId="184" formatCode="0000"/>
    <numFmt numFmtId="185" formatCode="00"/>
    <numFmt numFmtId="186" formatCode="000000"/>
    <numFmt numFmtId="187" formatCode="0.0000000_);[Red]\(0.0000000\)"/>
    <numFmt numFmtId="188" formatCode="0.0000000"/>
  </numFmts>
  <fonts count="92">
    <font>
      <sz val="8.5"/>
      <name val="LinePrinter"/>
    </font>
    <font>
      <sz val="12"/>
      <color theme="1"/>
      <name val="Calibri"/>
      <family val="2"/>
      <scheme val="minor"/>
    </font>
    <font>
      <b/>
      <sz val="10"/>
      <name val="Arial Narrow"/>
      <family val="2"/>
    </font>
    <font>
      <i/>
      <sz val="10"/>
      <name val="Arial Narrow"/>
      <family val="2"/>
    </font>
    <font>
      <sz val="10"/>
      <name val="Arial Narrow"/>
      <family val="2"/>
    </font>
    <font>
      <sz val="8"/>
      <name val="LinePrinter"/>
    </font>
    <font>
      <sz val="8"/>
      <name val="Arial Narrow"/>
      <family val="2"/>
    </font>
    <font>
      <b/>
      <sz val="8"/>
      <name val="Arial Narrow"/>
      <family val="2"/>
    </font>
    <font>
      <b/>
      <sz val="12"/>
      <name val="Arial Narrow"/>
      <family val="2"/>
    </font>
    <font>
      <b/>
      <sz val="12"/>
      <color indexed="9"/>
      <name val="Arial Narrow"/>
      <family val="2"/>
    </font>
    <font>
      <sz val="8.5"/>
      <name val="LinePrinter"/>
    </font>
    <font>
      <sz val="10"/>
      <color indexed="8"/>
      <name val="Arial"/>
      <family val="2"/>
    </font>
    <font>
      <sz val="10"/>
      <color indexed="9"/>
      <name val="Arial"/>
      <family val="2"/>
    </font>
    <font>
      <sz val="10"/>
      <color indexed="20"/>
      <name val="Arial"/>
      <family val="2"/>
    </font>
    <font>
      <b/>
      <sz val="10"/>
      <color indexed="5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50"/>
      <name val="Arial"/>
      <family val="2"/>
    </font>
    <font>
      <sz val="10"/>
      <color indexed="50"/>
      <name val="Arial"/>
      <family val="2"/>
    </font>
    <font>
      <b/>
      <sz val="10"/>
      <color indexed="63"/>
      <name val="Arial"/>
      <family val="2"/>
    </font>
    <font>
      <b/>
      <sz val="18"/>
      <color indexed="62"/>
      <name val="Cambria"/>
      <family val="2"/>
    </font>
    <font>
      <b/>
      <sz val="10"/>
      <color indexed="8"/>
      <name val="Arial"/>
      <family val="2"/>
    </font>
    <font>
      <sz val="10"/>
      <color indexed="10"/>
      <name val="Arial"/>
      <family val="2"/>
    </font>
    <font>
      <u/>
      <sz val="8.5"/>
      <color theme="10"/>
      <name val="LinePrinter"/>
    </font>
    <font>
      <u/>
      <sz val="8.5"/>
      <color theme="11"/>
      <name val="LinePrinter"/>
    </font>
    <font>
      <sz val="10"/>
      <color rgb="FF0000FF"/>
      <name val="Arial Narrow"/>
      <family val="2"/>
    </font>
    <font>
      <b/>
      <sz val="10"/>
      <color rgb="FFAC1B5A"/>
      <name val="Arial Narrow"/>
      <family val="2"/>
    </font>
    <font>
      <sz val="10"/>
      <color rgb="FF0070C0"/>
      <name val="Arial Narrow"/>
      <family val="2"/>
    </font>
    <font>
      <u/>
      <sz val="10"/>
      <name val="Arial Narrow"/>
      <family val="2"/>
    </font>
    <font>
      <sz val="10"/>
      <color theme="0"/>
      <name val="Arial Narrow"/>
      <family val="2"/>
    </font>
    <font>
      <sz val="10"/>
      <color theme="0" tint="-0.499984740745262"/>
      <name val="Arial Narrow"/>
      <family val="2"/>
    </font>
    <font>
      <sz val="11"/>
      <color theme="1"/>
      <name val="Calibri"/>
      <family val="2"/>
      <scheme val="minor"/>
    </font>
    <font>
      <sz val="10"/>
      <color theme="1"/>
      <name val="Arial Narrow"/>
      <family val="2"/>
    </font>
    <font>
      <b/>
      <sz val="10"/>
      <color theme="1"/>
      <name val="Arial Narrow"/>
      <family val="2"/>
    </font>
    <font>
      <sz val="8"/>
      <color theme="0" tint="-0.499984740745262"/>
      <name val="Arial Narrow"/>
      <family val="2"/>
    </font>
    <font>
      <b/>
      <u/>
      <sz val="10"/>
      <color theme="1"/>
      <name val="Arial Narrow"/>
      <family val="2"/>
    </font>
    <font>
      <sz val="10"/>
      <color theme="1" tint="0.499984740745262"/>
      <name val="Arial Narrow"/>
      <family val="2"/>
    </font>
    <font>
      <sz val="10"/>
      <name val="Courier New"/>
      <family val="1"/>
    </font>
    <font>
      <b/>
      <sz val="10"/>
      <name val="Courier New"/>
      <family val="1"/>
    </font>
    <font>
      <sz val="10"/>
      <name val="Courier New"/>
      <family val="2"/>
    </font>
    <font>
      <sz val="8"/>
      <name val="Aptos Narrow"/>
    </font>
    <font>
      <b/>
      <sz val="8"/>
      <name val="Aptos Narrow"/>
    </font>
    <font>
      <b/>
      <sz val="8"/>
      <color theme="8" tint="-0.499984740745262"/>
      <name val="Aptos Narrow"/>
    </font>
    <font>
      <sz val="8"/>
      <color theme="8" tint="-0.499984740745262"/>
      <name val="Aptos Narrow"/>
    </font>
    <font>
      <sz val="8"/>
      <color indexed="12"/>
      <name val="Aptos Narrow"/>
    </font>
    <font>
      <u/>
      <sz val="8"/>
      <color theme="0" tint="-0.34998626667073579"/>
      <name val="Aptos Narrow"/>
    </font>
    <font>
      <sz val="8"/>
      <color theme="0" tint="-0.34998626667073579"/>
      <name val="Aptos Narrow"/>
    </font>
    <font>
      <b/>
      <sz val="8"/>
      <color rgb="FFC00000"/>
      <name val="Aptos Narrow"/>
    </font>
    <font>
      <sz val="8"/>
      <color rgb="FFC00000"/>
      <name val="Aptos Narrow"/>
    </font>
    <font>
      <u/>
      <sz val="8"/>
      <name val="Aptos Narrow"/>
    </font>
    <font>
      <b/>
      <sz val="8"/>
      <color theme="0"/>
      <name val="Aptos Narrow"/>
    </font>
    <font>
      <sz val="8"/>
      <color theme="1"/>
      <name val="Aptos Narrow"/>
    </font>
    <font>
      <sz val="8"/>
      <color rgb="FF0000FF"/>
      <name val="Aptos Narrow"/>
    </font>
    <font>
      <sz val="8"/>
      <color theme="8" tint="-0.249977111117893"/>
      <name val="Aptos Narrow"/>
    </font>
    <font>
      <b/>
      <sz val="10"/>
      <color theme="0"/>
      <name val="Aptos Serif"/>
    </font>
    <font>
      <sz val="8.5"/>
      <color theme="0"/>
      <name val="Aptos Serif"/>
    </font>
    <font>
      <sz val="10"/>
      <color theme="0"/>
      <name val="Aptos Serif"/>
    </font>
    <font>
      <b/>
      <sz val="8"/>
      <color theme="1"/>
      <name val="Aptos Narrow"/>
    </font>
    <font>
      <sz val="8.5"/>
      <name val="Aptos Narrow"/>
    </font>
    <font>
      <sz val="10"/>
      <name val="Aptos Narrow"/>
    </font>
    <font>
      <sz val="10"/>
      <color theme="8" tint="-0.499984740745262"/>
      <name val="Aptos Narrow"/>
    </font>
    <font>
      <sz val="10"/>
      <color theme="1"/>
      <name val="Aptos Narrow"/>
    </font>
    <font>
      <sz val="8"/>
      <color rgb="FF7030A0"/>
      <name val="Aptos Narrow"/>
    </font>
    <font>
      <b/>
      <sz val="10"/>
      <name val="Aptos Narrow"/>
    </font>
    <font>
      <b/>
      <sz val="10"/>
      <color theme="2" tint="-0.749992370372631"/>
      <name val="Aptos Narrow"/>
    </font>
    <font>
      <b/>
      <sz val="8"/>
      <color rgb="FF7030A0"/>
      <name val="Aptos Narrow"/>
    </font>
    <font>
      <sz val="8"/>
      <color theme="0"/>
      <name val="Aptos Serif"/>
    </font>
    <font>
      <b/>
      <sz val="8"/>
      <color theme="0"/>
      <name val="Aptos Serif"/>
    </font>
    <font>
      <b/>
      <u/>
      <sz val="10"/>
      <name val="Aptos Narrow"/>
    </font>
    <font>
      <sz val="10"/>
      <color theme="0"/>
      <name val="Aptos Narrow"/>
    </font>
    <font>
      <sz val="10"/>
      <color theme="0" tint="-0.34998626667073579"/>
      <name val="Aptos Narrow"/>
    </font>
    <font>
      <sz val="10"/>
      <color theme="7"/>
      <name val="Arial Narrow"/>
      <family val="2"/>
    </font>
    <font>
      <sz val="8"/>
      <color theme="8" tint="0.39997558519241921"/>
      <name val="Aptos Narrow"/>
    </font>
    <font>
      <sz val="8"/>
      <color theme="1" tint="0.34998626667073579"/>
      <name val="Aptos Narrow"/>
    </font>
    <font>
      <b/>
      <sz val="10"/>
      <color theme="8"/>
      <name val="Arial Narrow"/>
      <family val="2"/>
    </font>
    <font>
      <sz val="10"/>
      <color theme="8"/>
      <name val="Arial Narrow"/>
      <family val="2"/>
    </font>
    <font>
      <sz val="10"/>
      <color theme="8" tint="-0.249977111117893"/>
      <name val="Arial Narrow"/>
      <family val="2"/>
    </font>
    <font>
      <b/>
      <sz val="10"/>
      <color theme="8" tint="-0.249977111117893"/>
      <name val="Arial Narrow"/>
      <family val="2"/>
    </font>
    <font>
      <b/>
      <u/>
      <sz val="10"/>
      <color theme="8" tint="-0.249977111117893"/>
      <name val="Arial Narrow"/>
      <family val="2"/>
    </font>
    <font>
      <b/>
      <sz val="8"/>
      <color theme="8" tint="-0.249977111117893"/>
      <name val="Aptos Narrow"/>
    </font>
    <font>
      <sz val="8"/>
      <color theme="8"/>
      <name val="Arial Narrow"/>
      <family val="2"/>
    </font>
    <font>
      <sz val="8"/>
      <color theme="7"/>
      <name val="Arial Narrow"/>
      <family val="2"/>
    </font>
    <font>
      <b/>
      <sz val="10"/>
      <color theme="7"/>
      <name val="Arial Narrow"/>
      <family val="2"/>
    </font>
    <font>
      <sz val="8"/>
      <color rgb="FFFFC000"/>
      <name val="Arial Narrow"/>
      <family val="2"/>
    </font>
    <font>
      <sz val="10"/>
      <color rgb="FFFFC000"/>
      <name val="Arial Narrow"/>
      <family val="2"/>
    </font>
    <font>
      <b/>
      <sz val="8"/>
      <color rgb="FFFFC000"/>
      <name val="Arial Narrow"/>
      <family val="2"/>
    </font>
    <font>
      <b/>
      <sz val="10"/>
      <color rgb="FFFFC000"/>
      <name val="Arial Narrow"/>
      <family val="2"/>
    </font>
  </fonts>
  <fills count="42">
    <fill>
      <patternFill patternType="none"/>
    </fill>
    <fill>
      <patternFill patternType="gray125"/>
    </fill>
    <fill>
      <patternFill patternType="solid">
        <fgColor indexed="44"/>
      </patternFill>
    </fill>
    <fill>
      <patternFill patternType="solid">
        <fgColor indexed="45"/>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22"/>
      </patternFill>
    </fill>
    <fill>
      <patternFill patternType="solid">
        <fgColor indexed="29"/>
      </patternFill>
    </fill>
    <fill>
      <patternFill patternType="solid">
        <fgColor indexed="53"/>
      </patternFill>
    </fill>
    <fill>
      <patternFill patternType="solid">
        <fgColor indexed="56"/>
      </patternFill>
    </fill>
    <fill>
      <patternFill patternType="solid">
        <fgColor indexed="19"/>
      </patternFill>
    </fill>
    <fill>
      <patternFill patternType="solid">
        <fgColor indexed="57"/>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theme="0" tint="-0.14999847407452621"/>
        <bgColor indexed="64"/>
      </patternFill>
    </fill>
    <fill>
      <patternFill patternType="solid">
        <fgColor theme="1"/>
        <bgColor indexed="64"/>
      </patternFill>
    </fill>
    <fill>
      <patternFill patternType="solid">
        <fgColor theme="0" tint="-0.14999847407452621"/>
        <bgColor indexed="8"/>
      </patternFill>
    </fill>
    <fill>
      <patternFill patternType="solid">
        <fgColor rgb="FF649664"/>
        <bgColor indexed="64"/>
      </patternFill>
    </fill>
    <fill>
      <patternFill patternType="solid">
        <fgColor rgb="FFFAFA64"/>
        <bgColor indexed="64"/>
      </patternFill>
    </fill>
    <fill>
      <patternFill patternType="solid">
        <fgColor rgb="FFFA9600"/>
        <bgColor indexed="64"/>
      </patternFill>
    </fill>
    <fill>
      <patternFill patternType="solid">
        <fgColor rgb="FF326496"/>
        <bgColor indexed="64"/>
      </patternFill>
    </fill>
    <fill>
      <patternFill patternType="solid">
        <fgColor rgb="FF9696C8"/>
        <bgColor indexed="64"/>
      </patternFill>
    </fill>
    <fill>
      <patternFill patternType="solid">
        <fgColor rgb="FFC83232"/>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8" tint="0.79998168889431442"/>
        <bgColor indexed="8"/>
      </patternFill>
    </fill>
    <fill>
      <patternFill patternType="solid">
        <fgColor theme="8" tint="0.79998168889431442"/>
        <bgColor indexed="64"/>
      </patternFill>
    </fill>
    <fill>
      <patternFill patternType="solid">
        <fgColor theme="8"/>
        <bgColor indexed="64"/>
      </patternFill>
    </fill>
    <fill>
      <patternFill patternType="solid">
        <fgColor theme="8" tint="-0.249977111117893"/>
        <bgColor indexed="64"/>
      </patternFill>
    </fill>
    <fill>
      <patternFill patternType="solid">
        <fgColor theme="8" tint="0.79998168889431442"/>
        <bgColor rgb="FF000000"/>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3CC"/>
        <bgColor indexed="64"/>
      </patternFill>
    </fill>
    <fill>
      <patternFill patternType="solid">
        <fgColor rgb="FF005777"/>
        <bgColor indexed="64"/>
      </patternFill>
    </fill>
    <fill>
      <patternFill patternType="solid">
        <fgColor rgb="FF444444"/>
        <bgColor indexed="64"/>
      </patternFill>
    </fill>
    <fill>
      <patternFill patternType="solid">
        <fgColor rgb="FFF5BE14"/>
        <bgColor indexed="64"/>
      </patternFill>
    </fill>
    <fill>
      <patternFill patternType="solid">
        <fgColor rgb="FF016A56"/>
        <bgColor indexed="64"/>
      </patternFill>
    </fill>
    <fill>
      <patternFill patternType="solid">
        <fgColor rgb="FF645C9C"/>
        <bgColor indexed="64"/>
      </patternFill>
    </fill>
  </fills>
  <borders count="74">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medium">
        <color auto="1"/>
      </bottom>
      <diagonal/>
    </border>
    <border>
      <left style="thin">
        <color indexed="8"/>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bottom style="thin">
        <color auto="1"/>
      </bottom>
      <diagonal/>
    </border>
    <border>
      <left/>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50"/>
      </bottom>
      <diagonal/>
    </border>
    <border>
      <left style="thin">
        <color indexed="53"/>
      </left>
      <right style="thin">
        <color indexed="53"/>
      </right>
      <top style="thin">
        <color indexed="53"/>
      </top>
      <bottom style="thin">
        <color indexed="53"/>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auto="1"/>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indexed="64"/>
      </top>
      <bottom/>
      <diagonal/>
    </border>
    <border>
      <left style="thin">
        <color indexed="64"/>
      </left>
      <right style="thin">
        <color indexed="64"/>
      </right>
      <top/>
      <bottom/>
      <diagonal/>
    </border>
    <border>
      <left style="thin">
        <color auto="1"/>
      </left>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indexed="64"/>
      </top>
      <bottom/>
      <diagonal/>
    </border>
    <border>
      <left style="thin">
        <color auto="1"/>
      </left>
      <right/>
      <top/>
      <bottom style="thin">
        <color indexed="64"/>
      </bottom>
      <diagonal/>
    </border>
    <border>
      <left/>
      <right style="thin">
        <color auto="1"/>
      </right>
      <top/>
      <bottom style="thin">
        <color indexed="64"/>
      </bottom>
      <diagonal/>
    </border>
    <border>
      <left/>
      <right style="thin">
        <color theme="0" tint="-0.24994659260841701"/>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style="thin">
        <color indexed="8"/>
      </bottom>
      <diagonal/>
    </border>
    <border>
      <left/>
      <right/>
      <top/>
      <bottom style="thin">
        <color indexed="8"/>
      </bottom>
      <diagonal/>
    </border>
    <border>
      <left/>
      <right/>
      <top/>
      <bottom style="thin">
        <color auto="1"/>
      </bottom>
      <diagonal/>
    </border>
    <border>
      <left style="medium">
        <color theme="1"/>
      </left>
      <right style="medium">
        <color theme="1"/>
      </right>
      <top style="medium">
        <color theme="1"/>
      </top>
      <bottom style="medium">
        <color theme="1"/>
      </bottom>
      <diagonal/>
    </border>
    <border>
      <left style="thin">
        <color auto="1"/>
      </left>
      <right style="thin">
        <color auto="1"/>
      </right>
      <top style="thin">
        <color indexed="64"/>
      </top>
      <bottom style="hair">
        <color auto="1"/>
      </bottom>
      <diagonal/>
    </border>
    <border>
      <left/>
      <right/>
      <top style="thin">
        <color indexed="64"/>
      </top>
      <bottom style="thin">
        <color indexed="64"/>
      </bottom>
      <diagonal/>
    </border>
    <border>
      <left style="thin">
        <color auto="1"/>
      </left>
      <right/>
      <top style="thin">
        <color indexed="64"/>
      </top>
      <bottom style="thin">
        <color auto="1"/>
      </bottom>
      <diagonal/>
    </border>
    <border>
      <left/>
      <right style="thin">
        <color auto="1"/>
      </right>
      <top style="thin">
        <color indexed="64"/>
      </top>
      <bottom style="thin">
        <color auto="1"/>
      </bottom>
      <diagonal/>
    </border>
    <border>
      <left style="thin">
        <color auto="1"/>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64"/>
      </right>
      <top/>
      <bottom/>
      <diagonal/>
    </border>
    <border>
      <left style="thin">
        <color indexed="8"/>
      </left>
      <right style="thin">
        <color indexed="64"/>
      </right>
      <top style="thin">
        <color indexed="8"/>
      </top>
      <bottom style="thin">
        <color indexed="8"/>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24994659260841701"/>
      </right>
      <top style="thin">
        <color theme="0" tint="-0.24994659260841701"/>
      </top>
      <bottom style="thin">
        <color theme="0" tint="-0.24994659260841701"/>
      </bottom>
      <diagonal/>
    </border>
    <border>
      <left/>
      <right style="thin">
        <color auto="1"/>
      </right>
      <top style="thin">
        <color indexed="64"/>
      </top>
      <bottom style="hair">
        <color auto="1"/>
      </bottom>
      <diagonal/>
    </border>
    <border>
      <left/>
      <right style="thin">
        <color auto="1"/>
      </right>
      <top style="hair">
        <color auto="1"/>
      </top>
      <bottom style="hair">
        <color auto="1"/>
      </bottom>
      <diagonal/>
    </border>
    <border>
      <left style="thin">
        <color auto="1"/>
      </left>
      <right/>
      <top style="thin">
        <color indexed="64"/>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s>
  <cellStyleXfs count="348">
    <xf numFmtId="164"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6" borderId="0" applyNumberFormat="0" applyBorder="0" applyAlignment="0" applyProtection="0"/>
    <xf numFmtId="0" fontId="11" fillId="3"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4" fillId="5" borderId="18" applyNumberFormat="0" applyAlignment="0" applyProtection="0"/>
    <xf numFmtId="0" fontId="15" fillId="10" borderId="19" applyNumberFormat="0" applyAlignment="0" applyProtection="0"/>
    <xf numFmtId="0" fontId="16" fillId="0" borderId="0" applyNumberFormat="0" applyFill="0" applyBorder="0" applyAlignment="0" applyProtection="0"/>
    <xf numFmtId="0" fontId="17" fillId="6" borderId="0" applyNumberFormat="0" applyBorder="0" applyAlignment="0" applyProtection="0"/>
    <xf numFmtId="0" fontId="18" fillId="0" borderId="20" applyNumberFormat="0" applyFill="0" applyAlignment="0" applyProtection="0"/>
    <xf numFmtId="0" fontId="19" fillId="0" borderId="21" applyNumberFormat="0" applyFill="0" applyAlignment="0" applyProtection="0"/>
    <xf numFmtId="0" fontId="20" fillId="0" borderId="22" applyNumberFormat="0" applyFill="0" applyAlignment="0" applyProtection="0"/>
    <xf numFmtId="0" fontId="20" fillId="0" borderId="0" applyNumberFormat="0" applyFill="0" applyBorder="0" applyAlignment="0" applyProtection="0"/>
    <xf numFmtId="0" fontId="21" fillId="7" borderId="18" applyNumberFormat="0" applyAlignment="0" applyProtection="0"/>
    <xf numFmtId="0" fontId="22" fillId="0" borderId="23" applyNumberFormat="0" applyFill="0" applyAlignment="0" applyProtection="0"/>
    <xf numFmtId="0" fontId="23" fillId="7" borderId="0" applyNumberFormat="0" applyBorder="0" applyAlignment="0" applyProtection="0"/>
    <xf numFmtId="0" fontId="10" fillId="4" borderId="24" applyNumberFormat="0" applyFont="0" applyAlignment="0" applyProtection="0"/>
    <xf numFmtId="0" fontId="24" fillId="5" borderId="25" applyNumberFormat="0" applyAlignment="0" applyProtection="0"/>
    <xf numFmtId="0" fontId="25" fillId="0" borderId="0" applyNumberFormat="0" applyFill="0" applyBorder="0" applyAlignment="0" applyProtection="0"/>
    <xf numFmtId="0" fontId="26" fillId="0" borderId="26" applyNumberFormat="0" applyFill="0" applyAlignment="0" applyProtection="0"/>
    <xf numFmtId="0" fontId="27"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9" fontId="10" fillId="0" borderId="0" applyFon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164" fontId="28" fillId="0" borderId="0" applyNumberFormat="0" applyFill="0" applyBorder="0" applyAlignment="0" applyProtection="0"/>
    <xf numFmtId="164" fontId="29" fillId="0" borderId="0" applyNumberFormat="0" applyFill="0" applyBorder="0" applyAlignment="0" applyProtection="0"/>
    <xf numFmtId="0" fontId="36" fillId="0" borderId="0"/>
    <xf numFmtId="43" fontId="36" fillId="0" borderId="0" applyFont="0" applyFill="0" applyBorder="0" applyAlignment="0" applyProtection="0"/>
    <xf numFmtId="9" fontId="36" fillId="0" borderId="0" applyFont="0" applyFill="0" applyBorder="0" applyAlignment="0" applyProtection="0"/>
    <xf numFmtId="0" fontId="1" fillId="0" borderId="0"/>
    <xf numFmtId="9" fontId="1" fillId="0" borderId="0" applyFont="0" applyFill="0" applyBorder="0" applyAlignment="0" applyProtection="0"/>
  </cellStyleXfs>
  <cellXfs count="587">
    <xf numFmtId="164" fontId="0" fillId="0" borderId="0" xfId="0"/>
    <xf numFmtId="164" fontId="6" fillId="0" borderId="0" xfId="0" applyFont="1"/>
    <xf numFmtId="164" fontId="4" fillId="0" borderId="0" xfId="0" applyFont="1"/>
    <xf numFmtId="49" fontId="0" fillId="0" borderId="0" xfId="0" applyNumberFormat="1"/>
    <xf numFmtId="49" fontId="4" fillId="0" borderId="49" xfId="0" applyNumberFormat="1" applyFont="1" applyBorder="1" applyAlignment="1">
      <alignment vertical="top"/>
    </xf>
    <xf numFmtId="3" fontId="4" fillId="0" borderId="49" xfId="0" applyNumberFormat="1" applyFont="1" applyBorder="1" applyAlignment="1">
      <alignment vertical="top"/>
    </xf>
    <xf numFmtId="1" fontId="4" fillId="0" borderId="49" xfId="0" applyNumberFormat="1" applyFont="1" applyBorder="1" applyAlignment="1">
      <alignment vertical="top"/>
    </xf>
    <xf numFmtId="49" fontId="4" fillId="0" borderId="14" xfId="0" applyNumberFormat="1" applyFont="1" applyBorder="1" applyAlignment="1">
      <alignment vertical="top"/>
    </xf>
    <xf numFmtId="3" fontId="4" fillId="0" borderId="14" xfId="0" applyNumberFormat="1" applyFont="1" applyBorder="1" applyAlignment="1">
      <alignment vertical="top"/>
    </xf>
    <xf numFmtId="1" fontId="4" fillId="0" borderId="14" xfId="0" applyNumberFormat="1" applyFont="1" applyBorder="1" applyAlignment="1">
      <alignment vertical="top"/>
    </xf>
    <xf numFmtId="49" fontId="4" fillId="0" borderId="14" xfId="0" applyNumberFormat="1" applyFont="1" applyBorder="1" applyAlignment="1">
      <alignment vertical="top" wrapText="1"/>
    </xf>
    <xf numFmtId="49" fontId="4" fillId="0" borderId="14" xfId="0" quotePrefix="1" applyNumberFormat="1" applyFont="1" applyBorder="1" applyAlignment="1">
      <alignment horizontal="left" vertical="top" wrapText="1" indent="2"/>
    </xf>
    <xf numFmtId="49" fontId="4" fillId="0" borderId="14" xfId="0" applyNumberFormat="1" applyFont="1" applyBorder="1" applyAlignment="1">
      <alignment horizontal="left" vertical="top" wrapText="1" indent="2"/>
    </xf>
    <xf numFmtId="164" fontId="4" fillId="0" borderId="14" xfId="0" quotePrefix="1" applyFont="1" applyBorder="1" applyAlignment="1">
      <alignment horizontal="left" vertical="top" wrapText="1" indent="2"/>
    </xf>
    <xf numFmtId="164" fontId="4" fillId="0" borderId="15" xfId="0" applyFont="1" applyBorder="1"/>
    <xf numFmtId="164" fontId="4" fillId="0" borderId="38" xfId="0" applyFont="1" applyBorder="1"/>
    <xf numFmtId="0" fontId="4" fillId="0" borderId="0" xfId="0" applyNumberFormat="1" applyFont="1" applyAlignment="1">
      <alignment horizontal="right" vertical="top"/>
    </xf>
    <xf numFmtId="164" fontId="4" fillId="0" borderId="0" xfId="0" applyFont="1" applyAlignment="1">
      <alignment horizontal="justify" vertical="top" wrapText="1"/>
    </xf>
    <xf numFmtId="49" fontId="4" fillId="0" borderId="0" xfId="0" applyNumberFormat="1" applyFont="1" applyAlignment="1">
      <alignment horizontal="right" vertical="top"/>
    </xf>
    <xf numFmtId="179" fontId="4" fillId="0" borderId="0" xfId="347" applyNumberFormat="1" applyFont="1" applyFill="1" applyBorder="1" applyProtection="1"/>
    <xf numFmtId="179" fontId="37" fillId="0" borderId="0" xfId="347" applyNumberFormat="1" applyFont="1" applyProtection="1"/>
    <xf numFmtId="171" fontId="4" fillId="0" borderId="0" xfId="346" applyNumberFormat="1" applyFont="1" applyAlignment="1">
      <alignment horizontal="right"/>
    </xf>
    <xf numFmtId="0" fontId="37" fillId="0" borderId="0" xfId="346" applyFont="1"/>
    <xf numFmtId="0" fontId="38" fillId="0" borderId="0" xfId="346" applyFont="1" applyAlignment="1">
      <alignment horizontal="center"/>
    </xf>
    <xf numFmtId="0" fontId="37" fillId="0" borderId="0" xfId="346" applyFont="1" applyAlignment="1">
      <alignment horizontal="center"/>
    </xf>
    <xf numFmtId="0" fontId="1" fillId="0" borderId="0" xfId="346"/>
    <xf numFmtId="0" fontId="38" fillId="0" borderId="0" xfId="346" applyFont="1" applyAlignment="1">
      <alignment horizontal="right"/>
    </xf>
    <xf numFmtId="184" fontId="4" fillId="0" borderId="0" xfId="346" applyNumberFormat="1" applyFont="1" applyAlignment="1">
      <alignment horizontal="right"/>
    </xf>
    <xf numFmtId="0" fontId="4" fillId="0" borderId="0" xfId="346" applyFont="1"/>
    <xf numFmtId="185" fontId="4" fillId="0" borderId="0" xfId="346" applyNumberFormat="1" applyFont="1" applyAlignment="1">
      <alignment horizontal="right"/>
    </xf>
    <xf numFmtId="186" fontId="37" fillId="0" borderId="0" xfId="346" applyNumberFormat="1" applyFont="1" applyAlignment="1">
      <alignment horizontal="right"/>
    </xf>
    <xf numFmtId="0" fontId="37" fillId="0" borderId="0" xfId="346" applyFont="1" applyAlignment="1">
      <alignment horizontal="right"/>
    </xf>
    <xf numFmtId="186" fontId="39" fillId="0" borderId="0" xfId="346" applyNumberFormat="1" applyFont="1" applyAlignment="1">
      <alignment horizontal="center"/>
    </xf>
    <xf numFmtId="0" fontId="2" fillId="0" borderId="0" xfId="346" applyFont="1" applyAlignment="1">
      <alignment horizontal="right"/>
    </xf>
    <xf numFmtId="186" fontId="4" fillId="0" borderId="0" xfId="346" applyNumberFormat="1" applyFont="1" applyAlignment="1">
      <alignment horizontal="right"/>
    </xf>
    <xf numFmtId="184" fontId="37" fillId="0" borderId="0" xfId="346" applyNumberFormat="1" applyFont="1"/>
    <xf numFmtId="0" fontId="37" fillId="0" borderId="45" xfId="346" applyFont="1" applyBorder="1" applyAlignment="1">
      <alignment horizontal="right"/>
    </xf>
    <xf numFmtId="185" fontId="38" fillId="27" borderId="4" xfId="346" quotePrefix="1" applyNumberFormat="1" applyFont="1" applyFill="1" applyBorder="1" applyAlignment="1">
      <alignment horizontal="center"/>
    </xf>
    <xf numFmtId="184" fontId="38" fillId="27" borderId="27" xfId="346" applyNumberFormat="1" applyFont="1" applyFill="1" applyBorder="1" applyAlignment="1">
      <alignment horizontal="right"/>
    </xf>
    <xf numFmtId="178" fontId="37" fillId="0" borderId="27" xfId="346" applyNumberFormat="1" applyFont="1" applyBorder="1" applyAlignment="1">
      <alignment horizontal="right"/>
    </xf>
    <xf numFmtId="178" fontId="35" fillId="0" borderId="27" xfId="346" applyNumberFormat="1" applyFont="1" applyBorder="1" applyAlignment="1">
      <alignment horizontal="center"/>
    </xf>
    <xf numFmtId="184" fontId="38" fillId="27" borderId="14" xfId="346" applyNumberFormat="1" applyFont="1" applyFill="1" applyBorder="1" applyAlignment="1">
      <alignment horizontal="right"/>
    </xf>
    <xf numFmtId="178" fontId="37" fillId="0" borderId="14" xfId="346" applyNumberFormat="1" applyFont="1" applyBorder="1" applyAlignment="1">
      <alignment horizontal="right"/>
    </xf>
    <xf numFmtId="178" fontId="35" fillId="0" borderId="14" xfId="346" applyNumberFormat="1" applyFont="1" applyBorder="1" applyAlignment="1">
      <alignment horizontal="center"/>
    </xf>
    <xf numFmtId="178" fontId="32" fillId="0" borderId="14" xfId="346" applyNumberFormat="1" applyFont="1" applyBorder="1"/>
    <xf numFmtId="184" fontId="38" fillId="27" borderId="15" xfId="346" applyNumberFormat="1" applyFont="1" applyFill="1" applyBorder="1" applyAlignment="1">
      <alignment horizontal="right"/>
    </xf>
    <xf numFmtId="178" fontId="32" fillId="0" borderId="15" xfId="346" applyNumberFormat="1" applyFont="1" applyBorder="1"/>
    <xf numFmtId="178" fontId="35" fillId="0" borderId="15" xfId="346" applyNumberFormat="1" applyFont="1" applyBorder="1" applyAlignment="1">
      <alignment horizontal="center"/>
    </xf>
    <xf numFmtId="164" fontId="4" fillId="0" borderId="8" xfId="0" applyFont="1" applyBorder="1"/>
    <xf numFmtId="6" fontId="4" fillId="0" borderId="27" xfId="0" applyNumberFormat="1" applyFont="1" applyBorder="1" applyAlignment="1">
      <alignment vertical="top"/>
    </xf>
    <xf numFmtId="6" fontId="4" fillId="0" borderId="27" xfId="0" applyNumberFormat="1" applyFont="1" applyBorder="1" applyAlignment="1">
      <alignment horizontal="right" vertical="top"/>
    </xf>
    <xf numFmtId="6" fontId="4" fillId="0" borderId="54" xfId="0" applyNumberFormat="1" applyFont="1" applyBorder="1" applyAlignment="1">
      <alignment vertical="top"/>
    </xf>
    <xf numFmtId="6" fontId="4" fillId="0" borderId="49" xfId="0" applyNumberFormat="1" applyFont="1" applyBorder="1" applyAlignment="1">
      <alignment horizontal="right" vertical="top"/>
    </xf>
    <xf numFmtId="0" fontId="4" fillId="0" borderId="14" xfId="0" applyNumberFormat="1" applyFont="1" applyBorder="1" applyAlignment="1">
      <alignment horizontal="right" vertical="top"/>
    </xf>
    <xf numFmtId="164" fontId="33" fillId="0" borderId="0" xfId="0" applyFont="1" applyAlignment="1">
      <alignment horizontal="center"/>
    </xf>
    <xf numFmtId="164" fontId="39" fillId="0" borderId="0" xfId="0" applyFont="1" applyAlignment="1">
      <alignment horizontal="center" vertical="center"/>
    </xf>
    <xf numFmtId="164" fontId="4" fillId="0" borderId="60" xfId="0" applyFont="1" applyBorder="1" applyAlignment="1">
      <alignment horizontal="center" vertical="center"/>
    </xf>
    <xf numFmtId="0" fontId="40" fillId="0" borderId="0" xfId="346" applyFont="1" applyAlignment="1">
      <alignment horizontal="right"/>
    </xf>
    <xf numFmtId="0" fontId="32" fillId="0" borderId="0" xfId="346" applyFont="1"/>
    <xf numFmtId="0" fontId="32" fillId="0" borderId="0" xfId="346" applyFont="1" applyAlignment="1">
      <alignment horizontal="center"/>
    </xf>
    <xf numFmtId="188" fontId="41" fillId="0" borderId="0" xfId="346" applyNumberFormat="1" applyFont="1"/>
    <xf numFmtId="49" fontId="4" fillId="0" borderId="14" xfId="0" applyNumberFormat="1" applyFont="1" applyBorder="1" applyAlignment="1">
      <alignment horizontal="center" vertical="top"/>
    </xf>
    <xf numFmtId="49" fontId="4" fillId="0" borderId="28" xfId="0" applyNumberFormat="1" applyFont="1" applyBorder="1" applyAlignment="1">
      <alignment vertical="top"/>
    </xf>
    <xf numFmtId="1" fontId="4" fillId="0" borderId="28" xfId="0" applyNumberFormat="1" applyFont="1" applyBorder="1" applyAlignment="1">
      <alignment vertical="top"/>
    </xf>
    <xf numFmtId="6" fontId="4" fillId="0" borderId="11" xfId="0" applyNumberFormat="1" applyFont="1" applyBorder="1" applyAlignment="1">
      <alignment vertical="top"/>
    </xf>
    <xf numFmtId="6" fontId="4" fillId="0" borderId="11" xfId="0" applyNumberFormat="1" applyFont="1" applyBorder="1" applyAlignment="1">
      <alignment horizontal="right" vertical="top"/>
    </xf>
    <xf numFmtId="49" fontId="4" fillId="0" borderId="27" xfId="0" applyNumberFormat="1" applyFont="1" applyBorder="1" applyAlignment="1">
      <alignment horizontal="left" vertical="top" wrapText="1" indent="2"/>
    </xf>
    <xf numFmtId="49" fontId="4" fillId="0" borderId="27" xfId="0" applyNumberFormat="1" applyFont="1" applyBorder="1" applyAlignment="1">
      <alignment horizontal="center" vertical="top"/>
    </xf>
    <xf numFmtId="1" fontId="4" fillId="0" borderId="27" xfId="0" applyNumberFormat="1" applyFont="1" applyBorder="1" applyAlignment="1">
      <alignment vertical="top"/>
    </xf>
    <xf numFmtId="49" fontId="4" fillId="0" borderId="27" xfId="0" applyNumberFormat="1" applyFont="1" applyBorder="1" applyAlignment="1">
      <alignment vertical="top"/>
    </xf>
    <xf numFmtId="178" fontId="4" fillId="0" borderId="14" xfId="346" applyNumberFormat="1" applyFont="1" applyBorder="1"/>
    <xf numFmtId="49" fontId="7" fillId="30" borderId="58" xfId="0" applyNumberFormat="1" applyFont="1" applyFill="1" applyBorder="1" applyAlignment="1">
      <alignment horizontal="center" vertical="center"/>
    </xf>
    <xf numFmtId="49" fontId="7" fillId="30" borderId="59" xfId="0" applyNumberFormat="1" applyFont="1" applyFill="1" applyBorder="1" applyAlignment="1">
      <alignment horizontal="center" vertical="center"/>
    </xf>
    <xf numFmtId="49" fontId="2" fillId="30" borderId="14" xfId="0" applyNumberFormat="1" applyFont="1" applyFill="1" applyBorder="1" applyAlignment="1">
      <alignment vertical="top"/>
    </xf>
    <xf numFmtId="3" fontId="4" fillId="30" borderId="14" xfId="0" applyNumberFormat="1" applyFont="1" applyFill="1" applyBorder="1" applyAlignment="1">
      <alignment vertical="top"/>
    </xf>
    <xf numFmtId="1" fontId="4" fillId="30" borderId="14" xfId="0" applyNumberFormat="1" applyFont="1" applyFill="1" applyBorder="1" applyAlignment="1">
      <alignment vertical="top"/>
    </xf>
    <xf numFmtId="6" fontId="4" fillId="30" borderId="27" xfId="0" applyNumberFormat="1" applyFont="1" applyFill="1" applyBorder="1" applyAlignment="1">
      <alignment vertical="top"/>
    </xf>
    <xf numFmtId="6" fontId="4" fillId="33" borderId="27" xfId="0" applyNumberFormat="1" applyFont="1" applyFill="1" applyBorder="1" applyAlignment="1">
      <alignment horizontal="right" vertical="top"/>
    </xf>
    <xf numFmtId="49" fontId="4" fillId="30" borderId="14" xfId="0" applyNumberFormat="1" applyFont="1" applyFill="1" applyBorder="1" applyAlignment="1">
      <alignment vertical="top"/>
    </xf>
    <xf numFmtId="49" fontId="2" fillId="30" borderId="60" xfId="0" applyNumberFormat="1" applyFont="1" applyFill="1" applyBorder="1" applyAlignment="1">
      <alignment vertical="top"/>
    </xf>
    <xf numFmtId="49" fontId="2" fillId="30" borderId="60" xfId="0" applyNumberFormat="1" applyFont="1" applyFill="1" applyBorder="1" applyAlignment="1">
      <alignment horizontal="center" vertical="top"/>
    </xf>
    <xf numFmtId="1" fontId="4" fillId="30" borderId="60" xfId="0" applyNumberFormat="1" applyFont="1" applyFill="1" applyBorder="1" applyAlignment="1">
      <alignment vertical="top"/>
    </xf>
    <xf numFmtId="49" fontId="4" fillId="30" borderId="60" xfId="0" applyNumberFormat="1" applyFont="1" applyFill="1" applyBorder="1" applyAlignment="1">
      <alignment vertical="top"/>
    </xf>
    <xf numFmtId="164" fontId="45" fillId="0" borderId="0" xfId="0" applyFont="1"/>
    <xf numFmtId="164" fontId="45" fillId="0" borderId="0" xfId="0" applyFont="1" applyAlignment="1">
      <alignment horizontal="left"/>
    </xf>
    <xf numFmtId="164" fontId="46" fillId="0" borderId="0" xfId="0" applyFont="1" applyAlignment="1">
      <alignment horizontal="left"/>
    </xf>
    <xf numFmtId="164" fontId="49" fillId="0" borderId="0" xfId="0" applyFont="1"/>
    <xf numFmtId="164" fontId="46" fillId="0" borderId="0" xfId="0" applyFont="1"/>
    <xf numFmtId="42" fontId="46" fillId="0" borderId="37" xfId="0" applyNumberFormat="1" applyFont="1" applyBorder="1"/>
    <xf numFmtId="164" fontId="50" fillId="0" borderId="0" xfId="0" applyFont="1" applyAlignment="1">
      <alignment horizontal="center"/>
    </xf>
    <xf numFmtId="183" fontId="45" fillId="0" borderId="0" xfId="0" applyNumberFormat="1" applyFont="1" applyAlignment="1">
      <alignment horizontal="center"/>
    </xf>
    <xf numFmtId="179" fontId="45" fillId="0" borderId="0" xfId="0" applyNumberFormat="1" applyFont="1"/>
    <xf numFmtId="164" fontId="52" fillId="0" borderId="0" xfId="0" applyFont="1" applyAlignment="1">
      <alignment horizontal="center"/>
    </xf>
    <xf numFmtId="37" fontId="45" fillId="0" borderId="0" xfId="0" applyNumberFormat="1" applyFont="1"/>
    <xf numFmtId="10" fontId="45" fillId="0" borderId="0" xfId="0" applyNumberFormat="1" applyFont="1"/>
    <xf numFmtId="37" fontId="49" fillId="0" borderId="0" xfId="0" applyNumberFormat="1" applyFont="1"/>
    <xf numFmtId="164" fontId="52" fillId="0" borderId="0" xfId="0" applyFont="1" applyAlignment="1">
      <alignment horizontal="right"/>
    </xf>
    <xf numFmtId="164" fontId="51" fillId="0" borderId="0" xfId="0" applyFont="1" applyAlignment="1">
      <alignment horizontal="center"/>
    </xf>
    <xf numFmtId="171" fontId="45" fillId="0" borderId="0" xfId="0" applyNumberFormat="1" applyFont="1" applyAlignment="1">
      <alignment horizontal="right"/>
    </xf>
    <xf numFmtId="164" fontId="45" fillId="0" borderId="9" xfId="0" applyFont="1" applyBorder="1"/>
    <xf numFmtId="164" fontId="45" fillId="0" borderId="0" xfId="0" applyFont="1" applyAlignment="1">
      <alignment horizontal="right"/>
    </xf>
    <xf numFmtId="164" fontId="54" fillId="0" borderId="0" xfId="0" applyFont="1" applyAlignment="1">
      <alignment horizontal="right"/>
    </xf>
    <xf numFmtId="38" fontId="45" fillId="29" borderId="5" xfId="0" applyNumberFormat="1" applyFont="1" applyFill="1" applyBorder="1"/>
    <xf numFmtId="165" fontId="45" fillId="29" borderId="0" xfId="0" applyNumberFormat="1" applyFont="1" applyFill="1"/>
    <xf numFmtId="42" fontId="45" fillId="29" borderId="0" xfId="0" applyNumberFormat="1" applyFont="1" applyFill="1"/>
    <xf numFmtId="38" fontId="45" fillId="0" borderId="5" xfId="0" applyNumberFormat="1" applyFont="1" applyBorder="1"/>
    <xf numFmtId="165" fontId="45" fillId="0" borderId="0" xfId="0" applyNumberFormat="1" applyFont="1"/>
    <xf numFmtId="42" fontId="45" fillId="0" borderId="0" xfId="0" applyNumberFormat="1" applyFont="1"/>
    <xf numFmtId="38" fontId="45" fillId="30" borderId="5" xfId="0" applyNumberFormat="1" applyFont="1" applyFill="1" applyBorder="1"/>
    <xf numFmtId="165" fontId="45" fillId="30" borderId="0" xfId="0" applyNumberFormat="1" applyFont="1" applyFill="1"/>
    <xf numFmtId="42" fontId="45" fillId="30" borderId="0" xfId="0" applyNumberFormat="1" applyFont="1" applyFill="1"/>
    <xf numFmtId="38" fontId="45" fillId="0" borderId="0" xfId="0" applyNumberFormat="1" applyFont="1"/>
    <xf numFmtId="42" fontId="45" fillId="0" borderId="42" xfId="0" applyNumberFormat="1" applyFont="1" applyBorder="1"/>
    <xf numFmtId="3" fontId="45" fillId="0" borderId="0" xfId="0" applyNumberFormat="1" applyFont="1"/>
    <xf numFmtId="164" fontId="54" fillId="0" borderId="0" xfId="0" applyFont="1" applyAlignment="1">
      <alignment horizontal="left"/>
    </xf>
    <xf numFmtId="164" fontId="46" fillId="29" borderId="0" xfId="0" applyFont="1" applyFill="1" applyAlignment="1">
      <alignment horizontal="left"/>
    </xf>
    <xf numFmtId="164" fontId="46" fillId="29" borderId="0" xfId="0" applyFont="1" applyFill="1"/>
    <xf numFmtId="164" fontId="45" fillId="29" borderId="0" xfId="0" applyFont="1" applyFill="1"/>
    <xf numFmtId="164" fontId="45" fillId="0" borderId="0" xfId="0" applyFont="1" applyAlignment="1">
      <alignment horizontal="left" indent="2"/>
    </xf>
    <xf numFmtId="176" fontId="45" fillId="0" borderId="0" xfId="0" applyNumberFormat="1" applyFont="1"/>
    <xf numFmtId="174" fontId="45" fillId="0" borderId="0" xfId="0" applyNumberFormat="1" applyFont="1"/>
    <xf numFmtId="37" fontId="49" fillId="29" borderId="0" xfId="0" applyNumberFormat="1" applyFont="1" applyFill="1"/>
    <xf numFmtId="173" fontId="45" fillId="29" borderId="0" xfId="0" applyNumberFormat="1" applyFont="1" applyFill="1"/>
    <xf numFmtId="37" fontId="45" fillId="30" borderId="0" xfId="0" applyNumberFormat="1" applyFont="1" applyFill="1"/>
    <xf numFmtId="37" fontId="55" fillId="0" borderId="0" xfId="0" applyNumberFormat="1" applyFont="1" applyAlignment="1">
      <alignment horizontal="center"/>
    </xf>
    <xf numFmtId="164" fontId="46" fillId="30" borderId="0" xfId="0" applyFont="1" applyFill="1" applyAlignment="1">
      <alignment horizontal="left"/>
    </xf>
    <xf numFmtId="164" fontId="46" fillId="30" borderId="0" xfId="0" applyFont="1" applyFill="1"/>
    <xf numFmtId="164" fontId="46" fillId="30" borderId="0" xfId="0" applyFont="1" applyFill="1" applyAlignment="1">
      <alignment horizontal="right"/>
    </xf>
    <xf numFmtId="37" fontId="46" fillId="0" borderId="0" xfId="0" applyNumberFormat="1" applyFont="1"/>
    <xf numFmtId="164" fontId="45" fillId="0" borderId="0" xfId="0" applyFont="1" applyAlignment="1">
      <alignment horizontal="center"/>
    </xf>
    <xf numFmtId="164" fontId="46" fillId="0" borderId="0" xfId="0" applyFont="1" applyAlignment="1">
      <alignment horizontal="center"/>
    </xf>
    <xf numFmtId="164" fontId="56" fillId="0" borderId="0" xfId="0" applyFont="1" applyAlignment="1">
      <alignment horizontal="left" indent="1" shrinkToFit="1"/>
    </xf>
    <xf numFmtId="164" fontId="45" fillId="0" borderId="4" xfId="0" applyFont="1" applyBorder="1" applyAlignment="1">
      <alignment horizontal="center"/>
    </xf>
    <xf numFmtId="44" fontId="45" fillId="0" borderId="41" xfId="0" applyNumberFormat="1" applyFont="1" applyBorder="1"/>
    <xf numFmtId="175" fontId="45" fillId="0" borderId="42" xfId="0" applyNumberFormat="1" applyFont="1" applyBorder="1"/>
    <xf numFmtId="164" fontId="57" fillId="0" borderId="0" xfId="0" applyFont="1" applyAlignment="1">
      <alignment horizontal="left" indent="1" shrinkToFit="1"/>
    </xf>
    <xf numFmtId="164" fontId="57" fillId="0" borderId="0" xfId="0" applyFont="1" applyAlignment="1">
      <alignment horizontal="left" shrinkToFit="1"/>
    </xf>
    <xf numFmtId="40" fontId="57" fillId="0" borderId="0" xfId="0" applyNumberFormat="1" applyFont="1"/>
    <xf numFmtId="164" fontId="57" fillId="0" borderId="0" xfId="0" applyFont="1" applyAlignment="1">
      <alignment horizontal="left"/>
    </xf>
    <xf numFmtId="42" fontId="57" fillId="0" borderId="0" xfId="0" applyNumberFormat="1" applyFont="1"/>
    <xf numFmtId="175" fontId="45" fillId="0" borderId="0" xfId="0" applyNumberFormat="1" applyFont="1"/>
    <xf numFmtId="164" fontId="53" fillId="0" borderId="36" xfId="0" applyFont="1" applyBorder="1" applyAlignment="1">
      <alignment horizontal="left" indent="1" shrinkToFit="1"/>
    </xf>
    <xf numFmtId="40" fontId="53" fillId="0" borderId="36" xfId="0" applyNumberFormat="1" applyFont="1" applyBorder="1"/>
    <xf numFmtId="164" fontId="53" fillId="0" borderId="36" xfId="0" applyFont="1" applyBorder="1" applyAlignment="1">
      <alignment horizontal="center"/>
    </xf>
    <xf numFmtId="44" fontId="53" fillId="0" borderId="36" xfId="0" applyNumberFormat="1" applyFont="1" applyBorder="1"/>
    <xf numFmtId="38" fontId="49" fillId="0" borderId="0" xfId="0" applyNumberFormat="1" applyFont="1"/>
    <xf numFmtId="164" fontId="46" fillId="0" borderId="0" xfId="0" applyFont="1" applyAlignment="1">
      <alignment horizontal="right"/>
    </xf>
    <xf numFmtId="38" fontId="46" fillId="0" borderId="0" xfId="0" applyNumberFormat="1" applyFont="1"/>
    <xf numFmtId="164" fontId="46" fillId="30" borderId="0" xfId="0" applyFont="1" applyFill="1" applyAlignment="1">
      <alignment horizontal="left" indent="1"/>
    </xf>
    <xf numFmtId="164" fontId="45" fillId="30" borderId="0" xfId="0" applyFont="1" applyFill="1"/>
    <xf numFmtId="164" fontId="45" fillId="0" borderId="0" xfId="0" quotePrefix="1" applyFont="1" applyAlignment="1">
      <alignment horizontal="left" indent="3"/>
    </xf>
    <xf numFmtId="166" fontId="49" fillId="0" borderId="0" xfId="0" applyNumberFormat="1" applyFont="1"/>
    <xf numFmtId="42" fontId="45" fillId="0" borderId="36" xfId="0" applyNumberFormat="1" applyFont="1" applyBorder="1"/>
    <xf numFmtId="181" fontId="45" fillId="0" borderId="0" xfId="0" applyNumberFormat="1" applyFont="1"/>
    <xf numFmtId="164" fontId="45" fillId="30" borderId="0" xfId="0" applyFont="1" applyFill="1" applyAlignment="1">
      <alignment horizontal="left"/>
    </xf>
    <xf numFmtId="166" fontId="45" fillId="0" borderId="13" xfId="0" applyNumberFormat="1" applyFont="1" applyBorder="1"/>
    <xf numFmtId="42" fontId="48" fillId="0" borderId="4" xfId="0" applyNumberFormat="1" applyFont="1" applyBorder="1" applyProtection="1">
      <protection locked="0"/>
    </xf>
    <xf numFmtId="166" fontId="49" fillId="30" borderId="0" xfId="0" applyNumberFormat="1" applyFont="1" applyFill="1"/>
    <xf numFmtId="37" fontId="49" fillId="30" borderId="0" xfId="0" applyNumberFormat="1" applyFont="1" applyFill="1"/>
    <xf numFmtId="179" fontId="53" fillId="0" borderId="0" xfId="0" applyNumberFormat="1" applyFont="1"/>
    <xf numFmtId="164" fontId="51" fillId="0" borderId="0" xfId="0" applyFont="1" applyAlignment="1">
      <alignment horizontal="right"/>
    </xf>
    <xf numFmtId="42" fontId="51" fillId="0" borderId="42" xfId="0" applyNumberFormat="1" applyFont="1" applyBorder="1"/>
    <xf numFmtId="164" fontId="49" fillId="0" borderId="0" xfId="0" applyFont="1" applyAlignment="1">
      <alignment horizontal="left"/>
    </xf>
    <xf numFmtId="9" fontId="45" fillId="0" borderId="0" xfId="0" applyNumberFormat="1" applyFont="1"/>
    <xf numFmtId="9" fontId="45" fillId="30" borderId="0" xfId="0" applyNumberFormat="1" applyFont="1" applyFill="1"/>
    <xf numFmtId="42" fontId="46" fillId="0" borderId="0" xfId="0" applyNumberFormat="1" applyFont="1"/>
    <xf numFmtId="164" fontId="46" fillId="18" borderId="0" xfId="0" quotePrefix="1" applyFont="1" applyFill="1" applyAlignment="1">
      <alignment horizontal="left" indent="1"/>
    </xf>
    <xf numFmtId="164" fontId="45" fillId="18" borderId="0" xfId="0" applyFont="1" applyFill="1"/>
    <xf numFmtId="9" fontId="45" fillId="18" borderId="0" xfId="0" applyNumberFormat="1" applyFont="1" applyFill="1"/>
    <xf numFmtId="37" fontId="45" fillId="18" borderId="0" xfId="0" applyNumberFormat="1" applyFont="1" applyFill="1"/>
    <xf numFmtId="167" fontId="49" fillId="0" borderId="0" xfId="0" applyNumberFormat="1" applyFont="1"/>
    <xf numFmtId="42" fontId="58" fillId="0" borderId="39" xfId="0" applyNumberFormat="1" applyFont="1" applyBorder="1" applyProtection="1">
      <protection locked="0"/>
    </xf>
    <xf numFmtId="42" fontId="58" fillId="0" borderId="40" xfId="0" applyNumberFormat="1" applyFont="1" applyBorder="1" applyProtection="1">
      <protection locked="0"/>
    </xf>
    <xf numFmtId="42" fontId="58" fillId="0" borderId="38" xfId="0" applyNumberFormat="1" applyFont="1" applyBorder="1" applyProtection="1">
      <protection locked="0"/>
    </xf>
    <xf numFmtId="49" fontId="45" fillId="0" borderId="0" xfId="0" applyNumberFormat="1" applyFont="1"/>
    <xf numFmtId="164" fontId="59" fillId="28" borderId="1" xfId="0" applyFont="1" applyFill="1" applyBorder="1" applyAlignment="1">
      <alignment horizontal="left"/>
    </xf>
    <xf numFmtId="164" fontId="60" fillId="28" borderId="2" xfId="0" applyFont="1" applyFill="1" applyBorder="1"/>
    <xf numFmtId="164" fontId="61" fillId="28" borderId="3" xfId="0" applyFont="1" applyFill="1" applyBorder="1" applyAlignment="1">
      <alignment horizontal="right"/>
    </xf>
    <xf numFmtId="42" fontId="56" fillId="0" borderId="0" xfId="0" applyNumberFormat="1" applyFont="1"/>
    <xf numFmtId="164" fontId="56" fillId="0" borderId="0" xfId="0" applyFont="1"/>
    <xf numFmtId="42" fontId="56" fillId="0" borderId="36" xfId="0" applyNumberFormat="1" applyFont="1" applyBorder="1"/>
    <xf numFmtId="172" fontId="46" fillId="0" borderId="0" xfId="0" applyNumberFormat="1" applyFont="1"/>
    <xf numFmtId="42" fontId="62" fillId="0" borderId="0" xfId="0" applyNumberFormat="1" applyFont="1"/>
    <xf numFmtId="164" fontId="62" fillId="0" borderId="0" xfId="0" applyFont="1"/>
    <xf numFmtId="179" fontId="51" fillId="0" borderId="0" xfId="274" applyNumberFormat="1" applyFont="1" applyProtection="1"/>
    <xf numFmtId="42" fontId="56" fillId="0" borderId="51" xfId="0" applyNumberFormat="1" applyFont="1" applyBorder="1"/>
    <xf numFmtId="164" fontId="51" fillId="0" borderId="0" xfId="0" applyFont="1"/>
    <xf numFmtId="164" fontId="52" fillId="0" borderId="0" xfId="0" applyFont="1"/>
    <xf numFmtId="168" fontId="45" fillId="0" borderId="0" xfId="0" applyNumberFormat="1" applyFont="1" applyAlignment="1">
      <alignment horizontal="right"/>
    </xf>
    <xf numFmtId="42" fontId="51" fillId="0" borderId="0" xfId="0" applyNumberFormat="1" applyFont="1"/>
    <xf numFmtId="42" fontId="56" fillId="0" borderId="52" xfId="0" applyNumberFormat="1" applyFont="1" applyBorder="1"/>
    <xf numFmtId="183" fontId="51" fillId="0" borderId="0" xfId="0" applyNumberFormat="1" applyFont="1"/>
    <xf numFmtId="6" fontId="45" fillId="0" borderId="0" xfId="0" applyNumberFormat="1" applyFont="1"/>
    <xf numFmtId="170" fontId="45" fillId="0" borderId="0" xfId="0" applyNumberFormat="1" applyFont="1"/>
    <xf numFmtId="164" fontId="47" fillId="30" borderId="0" xfId="0" applyFont="1" applyFill="1" applyAlignment="1">
      <alignment horizontal="left"/>
    </xf>
    <xf numFmtId="170" fontId="48" fillId="30" borderId="0" xfId="0" applyNumberFormat="1" applyFont="1" applyFill="1"/>
    <xf numFmtId="164" fontId="48" fillId="30" borderId="0" xfId="0" applyFont="1" applyFill="1"/>
    <xf numFmtId="38" fontId="46" fillId="0" borderId="53" xfId="0" applyNumberFormat="1" applyFont="1" applyBorder="1"/>
    <xf numFmtId="170" fontId="46" fillId="0" borderId="0" xfId="0" applyNumberFormat="1" applyFont="1"/>
    <xf numFmtId="179" fontId="45" fillId="0" borderId="0" xfId="274" applyNumberFormat="1" applyFont="1" applyProtection="1"/>
    <xf numFmtId="179" fontId="45" fillId="0" borderId="0" xfId="274" applyNumberFormat="1" applyFont="1" applyAlignment="1" applyProtection="1">
      <alignment horizontal="center" vertical="center"/>
    </xf>
    <xf numFmtId="166" fontId="45" fillId="0" borderId="0" xfId="0" applyNumberFormat="1" applyFont="1"/>
    <xf numFmtId="179" fontId="48" fillId="30" borderId="0" xfId="274" applyNumberFormat="1" applyFont="1" applyFill="1" applyProtection="1"/>
    <xf numFmtId="164" fontId="52" fillId="0" borderId="0" xfId="0" applyFont="1" applyAlignment="1">
      <alignment horizontal="left"/>
    </xf>
    <xf numFmtId="179" fontId="45" fillId="0" borderId="0" xfId="274" applyNumberFormat="1" applyFont="1" applyFill="1" applyProtection="1"/>
    <xf numFmtId="164" fontId="63" fillId="0" borderId="0" xfId="0" applyFont="1"/>
    <xf numFmtId="164" fontId="51" fillId="0" borderId="0" xfId="0" applyFont="1" applyAlignment="1">
      <alignment horizontal="center" vertical="center"/>
    </xf>
    <xf numFmtId="164" fontId="64" fillId="0" borderId="0" xfId="0" applyFont="1" applyAlignment="1">
      <alignment horizontal="right"/>
    </xf>
    <xf numFmtId="10" fontId="64" fillId="0" borderId="0" xfId="274" applyNumberFormat="1" applyFont="1" applyProtection="1"/>
    <xf numFmtId="164" fontId="64" fillId="0" borderId="0" xfId="0" applyFont="1"/>
    <xf numFmtId="38" fontId="65" fillId="0" borderId="0" xfId="0" applyNumberFormat="1" applyFont="1"/>
    <xf numFmtId="38" fontId="66" fillId="0" borderId="0" xfId="0" applyNumberFormat="1" applyFont="1"/>
    <xf numFmtId="38" fontId="67" fillId="0" borderId="0" xfId="0" applyNumberFormat="1" applyFont="1"/>
    <xf numFmtId="164" fontId="68" fillId="0" borderId="0" xfId="0" applyFont="1" applyAlignment="1">
      <alignment horizontal="right"/>
    </xf>
    <xf numFmtId="10" fontId="68" fillId="0" borderId="0" xfId="274" applyNumberFormat="1" applyFont="1" applyProtection="1"/>
    <xf numFmtId="164" fontId="68" fillId="0" borderId="0" xfId="0" applyFont="1"/>
    <xf numFmtId="38" fontId="68" fillId="0" borderId="0" xfId="0" applyNumberFormat="1" applyFont="1"/>
    <xf numFmtId="38" fontId="69" fillId="0" borderId="0" xfId="0" applyNumberFormat="1" applyFont="1"/>
    <xf numFmtId="38" fontId="70" fillId="0" borderId="0" xfId="0" applyNumberFormat="1" applyFont="1"/>
    <xf numFmtId="164" fontId="46" fillId="18" borderId="0" xfId="0" applyFont="1" applyFill="1" applyAlignment="1">
      <alignment horizontal="left"/>
    </xf>
    <xf numFmtId="170" fontId="45" fillId="18" borderId="0" xfId="0" applyNumberFormat="1" applyFont="1" applyFill="1"/>
    <xf numFmtId="179" fontId="45" fillId="18" borderId="0" xfId="0" applyNumberFormat="1" applyFont="1" applyFill="1"/>
    <xf numFmtId="179" fontId="45" fillId="18" borderId="0" xfId="274" applyNumberFormat="1" applyFont="1" applyFill="1" applyProtection="1"/>
    <xf numFmtId="164" fontId="46" fillId="18" borderId="0" xfId="0" applyFont="1" applyFill="1" applyAlignment="1">
      <alignment horizontal="right"/>
    </xf>
    <xf numFmtId="38" fontId="64" fillId="0" borderId="0" xfId="0" applyNumberFormat="1" applyFont="1"/>
    <xf numFmtId="164" fontId="59" fillId="19" borderId="1" xfId="0" applyFont="1" applyFill="1" applyBorder="1" applyAlignment="1">
      <alignment horizontal="left"/>
    </xf>
    <xf numFmtId="164" fontId="60" fillId="19" borderId="2" xfId="0" applyFont="1" applyFill="1" applyBorder="1"/>
    <xf numFmtId="164" fontId="61" fillId="19" borderId="3" xfId="0" applyFont="1" applyFill="1" applyBorder="1" applyAlignment="1">
      <alignment horizontal="right"/>
    </xf>
    <xf numFmtId="37" fontId="45" fillId="0" borderId="0" xfId="0" applyNumberFormat="1" applyFont="1" applyProtection="1">
      <protection locked="0"/>
    </xf>
    <xf numFmtId="164" fontId="54" fillId="0" borderId="0" xfId="0" applyFont="1" applyAlignment="1">
      <alignment horizontal="center"/>
    </xf>
    <xf numFmtId="38" fontId="45" fillId="20" borderId="29" xfId="0" applyNumberFormat="1" applyFont="1" applyFill="1" applyBorder="1"/>
    <xf numFmtId="182" fontId="45" fillId="20" borderId="10" xfId="0" applyNumberFormat="1" applyFont="1" applyFill="1" applyBorder="1"/>
    <xf numFmtId="38" fontId="45" fillId="20" borderId="5" xfId="0" applyNumberFormat="1" applyFont="1" applyFill="1" applyBorder="1"/>
    <xf numFmtId="176" fontId="45" fillId="20" borderId="10" xfId="0" applyNumberFormat="1" applyFont="1" applyFill="1" applyBorder="1"/>
    <xf numFmtId="165" fontId="45" fillId="20" borderId="0" xfId="0" applyNumberFormat="1" applyFont="1" applyFill="1"/>
    <xf numFmtId="42" fontId="45" fillId="20" borderId="0" xfId="0" applyNumberFormat="1" applyFont="1" applyFill="1"/>
    <xf numFmtId="38" fontId="45" fillId="0" borderId="30" xfId="0" applyNumberFormat="1" applyFont="1" applyBorder="1"/>
    <xf numFmtId="182" fontId="45" fillId="0" borderId="5" xfId="0" applyNumberFormat="1" applyFont="1" applyBorder="1"/>
    <xf numFmtId="176" fontId="45" fillId="0" borderId="5" xfId="0" applyNumberFormat="1" applyFont="1" applyBorder="1"/>
    <xf numFmtId="38" fontId="45" fillId="18" borderId="30" xfId="0" applyNumberFormat="1" applyFont="1" applyFill="1" applyBorder="1"/>
    <xf numFmtId="182" fontId="45" fillId="18" borderId="5" xfId="0" applyNumberFormat="1" applyFont="1" applyFill="1" applyBorder="1"/>
    <xf numFmtId="38" fontId="45" fillId="18" borderId="5" xfId="0" applyNumberFormat="1" applyFont="1" applyFill="1" applyBorder="1"/>
    <xf numFmtId="176" fontId="45" fillId="18" borderId="5" xfId="0" applyNumberFormat="1" applyFont="1" applyFill="1" applyBorder="1"/>
    <xf numFmtId="165" fontId="45" fillId="18" borderId="0" xfId="0" applyNumberFormat="1" applyFont="1" applyFill="1"/>
    <xf numFmtId="42" fontId="45" fillId="18" borderId="0" xfId="0" applyNumberFormat="1" applyFont="1" applyFill="1"/>
    <xf numFmtId="38" fontId="45" fillId="20" borderId="31" xfId="0" applyNumberFormat="1" applyFont="1" applyFill="1" applyBorder="1"/>
    <xf numFmtId="182" fontId="45" fillId="20" borderId="12" xfId="0" applyNumberFormat="1" applyFont="1" applyFill="1" applyBorder="1"/>
    <xf numFmtId="176" fontId="45" fillId="20" borderId="12" xfId="0" applyNumberFormat="1" applyFont="1" applyFill="1" applyBorder="1"/>
    <xf numFmtId="164" fontId="46" fillId="20" borderId="0" xfId="0" applyFont="1" applyFill="1" applyAlignment="1">
      <alignment horizontal="left"/>
    </xf>
    <xf numFmtId="164" fontId="46" fillId="20" borderId="0" xfId="0" applyFont="1" applyFill="1"/>
    <xf numFmtId="164" fontId="45" fillId="20" borderId="0" xfId="0" applyFont="1" applyFill="1"/>
    <xf numFmtId="38" fontId="45" fillId="0" borderId="32" xfId="0" applyNumberFormat="1" applyFont="1" applyBorder="1"/>
    <xf numFmtId="176" fontId="45" fillId="0" borderId="6" xfId="0" applyNumberFormat="1" applyFont="1" applyBorder="1"/>
    <xf numFmtId="38" fontId="45" fillId="0" borderId="33" xfId="0" applyNumberFormat="1" applyFont="1" applyBorder="1"/>
    <xf numFmtId="176" fontId="45" fillId="0" borderId="11" xfId="0" applyNumberFormat="1" applyFont="1" applyBorder="1"/>
    <xf numFmtId="38" fontId="45" fillId="0" borderId="34" xfId="0" applyNumberFormat="1" applyFont="1" applyBorder="1"/>
    <xf numFmtId="176" fontId="45" fillId="0" borderId="8" xfId="0" applyNumberFormat="1" applyFont="1" applyBorder="1"/>
    <xf numFmtId="37" fontId="45" fillId="20" borderId="0" xfId="0" applyNumberFormat="1" applyFont="1" applyFill="1"/>
    <xf numFmtId="173" fontId="45" fillId="20" borderId="0" xfId="0" applyNumberFormat="1" applyFont="1" applyFill="1"/>
    <xf numFmtId="37" fontId="46" fillId="0" borderId="0" xfId="0" applyNumberFormat="1" applyFont="1" applyAlignment="1">
      <alignment horizontal="center"/>
    </xf>
    <xf numFmtId="164" fontId="46" fillId="18" borderId="0" xfId="0" applyFont="1" applyFill="1"/>
    <xf numFmtId="164" fontId="45" fillId="0" borderId="0" xfId="0" applyFont="1" applyAlignment="1">
      <alignment horizontal="left" indent="1" shrinkToFit="1"/>
    </xf>
    <xf numFmtId="164" fontId="45" fillId="0" borderId="0" xfId="0" applyFont="1" applyAlignment="1">
      <alignment horizontal="left" shrinkToFit="1"/>
    </xf>
    <xf numFmtId="40" fontId="45" fillId="0" borderId="4" xfId="0" applyNumberFormat="1" applyFont="1" applyBorder="1"/>
    <xf numFmtId="40" fontId="45" fillId="0" borderId="0" xfId="0" applyNumberFormat="1" applyFont="1"/>
    <xf numFmtId="40" fontId="45" fillId="0" borderId="11" xfId="0" applyNumberFormat="1" applyFont="1" applyBorder="1" applyAlignment="1">
      <alignment horizontal="right"/>
    </xf>
    <xf numFmtId="164" fontId="45" fillId="0" borderId="11" xfId="0" applyFont="1" applyBorder="1" applyAlignment="1">
      <alignment horizontal="center"/>
    </xf>
    <xf numFmtId="44" fontId="45" fillId="0" borderId="11" xfId="0" applyNumberFormat="1" applyFont="1" applyBorder="1" applyAlignment="1">
      <alignment horizontal="right"/>
    </xf>
    <xf numFmtId="40" fontId="45" fillId="18" borderId="11" xfId="0" applyNumberFormat="1" applyFont="1" applyFill="1" applyBorder="1" applyAlignment="1">
      <alignment horizontal="right"/>
    </xf>
    <xf numFmtId="164" fontId="45" fillId="18" borderId="11" xfId="0" applyFont="1" applyFill="1" applyBorder="1" applyAlignment="1">
      <alignment horizontal="center"/>
    </xf>
    <xf numFmtId="44" fontId="45" fillId="18" borderId="11" xfId="0" applyNumberFormat="1" applyFont="1" applyFill="1" applyBorder="1" applyAlignment="1">
      <alignment horizontal="right"/>
    </xf>
    <xf numFmtId="40" fontId="45" fillId="0" borderId="38" xfId="0" applyNumberFormat="1" applyFont="1" applyBorder="1" applyAlignment="1">
      <alignment horizontal="right"/>
    </xf>
    <xf numFmtId="164" fontId="45" fillId="0" borderId="38" xfId="0" applyFont="1" applyBorder="1" applyAlignment="1">
      <alignment horizontal="center"/>
    </xf>
    <xf numFmtId="44" fontId="45" fillId="0" borderId="38" xfId="0" applyNumberFormat="1" applyFont="1" applyBorder="1" applyAlignment="1">
      <alignment horizontal="right"/>
    </xf>
    <xf numFmtId="164" fontId="45" fillId="0" borderId="36" xfId="0" applyFont="1" applyBorder="1" applyAlignment="1">
      <alignment horizontal="left" indent="1" shrinkToFit="1"/>
    </xf>
    <xf numFmtId="40" fontId="45" fillId="0" borderId="36" xfId="0" applyNumberFormat="1" applyFont="1" applyBorder="1"/>
    <xf numFmtId="164" fontId="45" fillId="0" borderId="36" xfId="0" applyFont="1" applyBorder="1" applyAlignment="1">
      <alignment horizontal="center"/>
    </xf>
    <xf numFmtId="44" fontId="45" fillId="0" borderId="36" xfId="0" applyNumberFormat="1" applyFont="1" applyBorder="1"/>
    <xf numFmtId="40" fontId="45" fillId="0" borderId="40" xfId="0" applyNumberFormat="1" applyFont="1" applyBorder="1" applyAlignment="1">
      <alignment horizontal="right"/>
    </xf>
    <xf numFmtId="164" fontId="45" fillId="0" borderId="40" xfId="0" applyFont="1" applyBorder="1" applyAlignment="1">
      <alignment horizontal="center"/>
    </xf>
    <xf numFmtId="44" fontId="45" fillId="0" borderId="40" xfId="0" applyNumberFormat="1" applyFont="1" applyBorder="1" applyAlignment="1">
      <alignment horizontal="right"/>
    </xf>
    <xf numFmtId="40" fontId="45" fillId="18" borderId="40" xfId="0" applyNumberFormat="1" applyFont="1" applyFill="1" applyBorder="1" applyAlignment="1">
      <alignment horizontal="right"/>
    </xf>
    <xf numFmtId="164" fontId="45" fillId="18" borderId="40" xfId="0" applyFont="1" applyFill="1" applyBorder="1" applyAlignment="1">
      <alignment horizontal="center"/>
    </xf>
    <xf numFmtId="44" fontId="45" fillId="18" borderId="40" xfId="0" applyNumberFormat="1" applyFont="1" applyFill="1" applyBorder="1" applyAlignment="1">
      <alignment horizontal="right"/>
    </xf>
    <xf numFmtId="40" fontId="45" fillId="18" borderId="38" xfId="0" applyNumberFormat="1" applyFont="1" applyFill="1" applyBorder="1" applyAlignment="1">
      <alignment horizontal="right"/>
    </xf>
    <xf numFmtId="164" fontId="45" fillId="18" borderId="38" xfId="0" applyFont="1" applyFill="1" applyBorder="1" applyAlignment="1">
      <alignment horizontal="center"/>
    </xf>
    <xf numFmtId="44" fontId="45" fillId="18" borderId="38" xfId="0" applyNumberFormat="1" applyFont="1" applyFill="1" applyBorder="1" applyAlignment="1">
      <alignment horizontal="right"/>
    </xf>
    <xf numFmtId="164" fontId="46" fillId="18" borderId="0" xfId="0" applyFont="1" applyFill="1" applyAlignment="1">
      <alignment horizontal="left" indent="1"/>
    </xf>
    <xf numFmtId="164" fontId="45" fillId="18" borderId="0" xfId="0" applyFont="1" applyFill="1" applyAlignment="1">
      <alignment horizontal="left"/>
    </xf>
    <xf numFmtId="42" fontId="45" fillId="0" borderId="4" xfId="0" applyNumberFormat="1" applyFont="1" applyBorder="1"/>
    <xf numFmtId="166" fontId="45" fillId="18" borderId="0" xfId="0" applyNumberFormat="1" applyFont="1" applyFill="1"/>
    <xf numFmtId="42" fontId="45" fillId="0" borderId="39" xfId="0" applyNumberFormat="1" applyFont="1" applyBorder="1"/>
    <xf numFmtId="42" fontId="45" fillId="0" borderId="40" xfId="0" applyNumberFormat="1" applyFont="1" applyBorder="1"/>
    <xf numFmtId="42" fontId="45" fillId="0" borderId="38" xfId="0" applyNumberFormat="1" applyFont="1" applyBorder="1"/>
    <xf numFmtId="167" fontId="45" fillId="0" borderId="0" xfId="0" applyNumberFormat="1" applyFont="1"/>
    <xf numFmtId="164" fontId="45" fillId="0" borderId="0" xfId="0" applyFont="1" applyAlignment="1">
      <alignment horizontal="left" indent="1"/>
    </xf>
    <xf numFmtId="179" fontId="53" fillId="18" borderId="0" xfId="0" applyNumberFormat="1" applyFont="1" applyFill="1"/>
    <xf numFmtId="166" fontId="50" fillId="0" borderId="0" xfId="0" applyNumberFormat="1" applyFont="1" applyAlignment="1">
      <alignment horizontal="center"/>
    </xf>
    <xf numFmtId="164" fontId="73" fillId="0" borderId="0" xfId="0" applyFont="1" applyAlignment="1">
      <alignment horizontal="center"/>
    </xf>
    <xf numFmtId="164" fontId="73" fillId="0" borderId="0" xfId="0" applyFont="1"/>
    <xf numFmtId="171" fontId="64" fillId="0" borderId="0" xfId="0" applyNumberFormat="1" applyFont="1"/>
    <xf numFmtId="164" fontId="74" fillId="21" borderId="0" xfId="0" applyFont="1" applyFill="1" applyAlignment="1">
      <alignment horizontal="center"/>
    </xf>
    <xf numFmtId="164" fontId="64" fillId="22" borderId="0" xfId="0" applyFont="1" applyFill="1" applyAlignment="1">
      <alignment horizontal="center"/>
    </xf>
    <xf numFmtId="164" fontId="74" fillId="23" borderId="0" xfId="0" applyFont="1" applyFill="1" applyAlignment="1">
      <alignment horizontal="center"/>
    </xf>
    <xf numFmtId="164" fontId="74" fillId="24" borderId="0" xfId="0" applyFont="1" applyFill="1" applyAlignment="1">
      <alignment horizontal="center"/>
    </xf>
    <xf numFmtId="164" fontId="74" fillId="25" borderId="0" xfId="0" applyFont="1" applyFill="1" applyAlignment="1">
      <alignment horizontal="center"/>
    </xf>
    <xf numFmtId="164" fontId="74" fillId="26" borderId="0" xfId="0" applyFont="1" applyFill="1" applyAlignment="1">
      <alignment horizontal="center"/>
    </xf>
    <xf numFmtId="164" fontId="64" fillId="0" borderId="0" xfId="0" applyFont="1" applyAlignment="1">
      <alignment horizontal="center"/>
    </xf>
    <xf numFmtId="179" fontId="64" fillId="0" borderId="0" xfId="274" applyNumberFormat="1" applyFont="1"/>
    <xf numFmtId="164" fontId="75" fillId="0" borderId="0" xfId="0" applyFont="1" applyAlignment="1">
      <alignment vertical="center"/>
    </xf>
    <xf numFmtId="170" fontId="64" fillId="0" borderId="0" xfId="0" applyNumberFormat="1" applyFont="1"/>
    <xf numFmtId="181" fontId="51" fillId="0" borderId="0" xfId="0" applyNumberFormat="1" applyFont="1"/>
    <xf numFmtId="178" fontId="51" fillId="0" borderId="0" xfId="0" applyNumberFormat="1" applyFont="1" applyAlignment="1">
      <alignment horizontal="right" indent="2"/>
    </xf>
    <xf numFmtId="164" fontId="51" fillId="0" borderId="0" xfId="0" applyFont="1" applyAlignment="1">
      <alignment horizontal="right" indent="2"/>
    </xf>
    <xf numFmtId="0" fontId="76" fillId="0" borderId="0" xfId="346" applyFont="1"/>
    <xf numFmtId="164" fontId="77" fillId="0" borderId="0" xfId="0" applyFont="1" applyAlignment="1">
      <alignment horizontal="right" indent="2"/>
    </xf>
    <xf numFmtId="164" fontId="51" fillId="0" borderId="66" xfId="0" applyFont="1" applyBorder="1" applyAlignment="1">
      <alignment horizontal="center"/>
    </xf>
    <xf numFmtId="164" fontId="58" fillId="0" borderId="60" xfId="0" applyFont="1" applyBorder="1" applyAlignment="1" applyProtection="1">
      <alignment horizontal="center"/>
      <protection locked="0"/>
    </xf>
    <xf numFmtId="164" fontId="51" fillId="0" borderId="0" xfId="0" applyFont="1" applyAlignment="1">
      <alignment horizontal="right" indent="1"/>
    </xf>
    <xf numFmtId="179" fontId="51" fillId="0" borderId="0" xfId="274" applyNumberFormat="1" applyFont="1" applyFill="1"/>
    <xf numFmtId="175" fontId="51" fillId="0" borderId="0" xfId="0" applyNumberFormat="1" applyFont="1" applyAlignment="1">
      <alignment horizontal="right"/>
    </xf>
    <xf numFmtId="179" fontId="51" fillId="0" borderId="4" xfId="0" applyNumberFormat="1" applyFont="1" applyBorder="1"/>
    <xf numFmtId="179" fontId="51" fillId="0" borderId="60" xfId="0" applyNumberFormat="1" applyFont="1" applyBorder="1"/>
    <xf numFmtId="179" fontId="51" fillId="0" borderId="35" xfId="0" applyNumberFormat="1" applyFont="1" applyBorder="1"/>
    <xf numFmtId="179" fontId="51" fillId="0" borderId="7" xfId="0" applyNumberFormat="1" applyFont="1" applyBorder="1"/>
    <xf numFmtId="38" fontId="51" fillId="0" borderId="6" xfId="0" applyNumberFormat="1" applyFont="1" applyBorder="1"/>
    <xf numFmtId="38" fontId="51" fillId="0" borderId="8" xfId="0" applyNumberFormat="1" applyFont="1" applyBorder="1"/>
    <xf numFmtId="164" fontId="48" fillId="30" borderId="0" xfId="0" applyFont="1" applyFill="1" applyAlignment="1">
      <alignment horizontal="right" indent="1"/>
    </xf>
    <xf numFmtId="164" fontId="45" fillId="0" borderId="0" xfId="0" applyFont="1" applyAlignment="1">
      <alignment horizontal="right" indent="1"/>
    </xf>
    <xf numFmtId="179" fontId="48" fillId="30" borderId="0" xfId="0" applyNumberFormat="1" applyFont="1" applyFill="1" applyAlignment="1">
      <alignment horizontal="right" indent="1"/>
    </xf>
    <xf numFmtId="179" fontId="45" fillId="0" borderId="0" xfId="274" applyNumberFormat="1" applyFont="1" applyAlignment="1" applyProtection="1">
      <alignment horizontal="right" indent="1"/>
    </xf>
    <xf numFmtId="179" fontId="45" fillId="0" borderId="0" xfId="0" applyNumberFormat="1" applyFont="1" applyAlignment="1">
      <alignment horizontal="right" indent="1"/>
    </xf>
    <xf numFmtId="164" fontId="47" fillId="30" borderId="0" xfId="0" applyFont="1" applyFill="1" applyAlignment="1">
      <alignment horizontal="right" indent="1"/>
    </xf>
    <xf numFmtId="164" fontId="45" fillId="18" borderId="0" xfId="0" applyFont="1" applyFill="1" applyAlignment="1">
      <alignment horizontal="right" indent="1"/>
    </xf>
    <xf numFmtId="179" fontId="45" fillId="18" borderId="0" xfId="0" applyNumberFormat="1" applyFont="1" applyFill="1" applyAlignment="1">
      <alignment horizontal="right" indent="1"/>
    </xf>
    <xf numFmtId="164" fontId="46" fillId="18" borderId="0" xfId="0" applyFont="1" applyFill="1" applyAlignment="1">
      <alignment horizontal="right" indent="1"/>
    </xf>
    <xf numFmtId="42" fontId="45" fillId="0" borderId="67" xfId="0" applyNumberFormat="1" applyFont="1" applyBorder="1"/>
    <xf numFmtId="164" fontId="45" fillId="30" borderId="0" xfId="0" applyFont="1" applyFill="1" applyAlignment="1">
      <alignment horizontal="right" indent="1"/>
    </xf>
    <xf numFmtId="179" fontId="58" fillId="30" borderId="0" xfId="0" applyNumberFormat="1" applyFont="1" applyFill="1" applyAlignment="1">
      <alignment horizontal="right" indent="1"/>
    </xf>
    <xf numFmtId="179" fontId="58" fillId="30" borderId="0" xfId="274" applyNumberFormat="1" applyFont="1" applyFill="1" applyBorder="1" applyAlignment="1" applyProtection="1">
      <alignment horizontal="right" indent="1"/>
    </xf>
    <xf numFmtId="164" fontId="58" fillId="30" borderId="0" xfId="0" applyFont="1" applyFill="1" applyAlignment="1">
      <alignment horizontal="right" indent="1"/>
    </xf>
    <xf numFmtId="164" fontId="78" fillId="18" borderId="0" xfId="0" applyFont="1" applyFill="1" applyAlignment="1">
      <alignment horizontal="right" indent="1"/>
    </xf>
    <xf numFmtId="179" fontId="78" fillId="18" borderId="0" xfId="274" applyNumberFormat="1" applyFont="1" applyFill="1" applyBorder="1" applyAlignment="1" applyProtection="1">
      <alignment horizontal="right" indent="1"/>
    </xf>
    <xf numFmtId="179" fontId="78" fillId="18" borderId="0" xfId="0" applyNumberFormat="1" applyFont="1" applyFill="1" applyAlignment="1">
      <alignment horizontal="right" indent="1"/>
    </xf>
    <xf numFmtId="164" fontId="45" fillId="20" borderId="6" xfId="0" applyFont="1" applyFill="1" applyBorder="1" applyAlignment="1">
      <alignment horizontal="left" indent="1"/>
    </xf>
    <xf numFmtId="164" fontId="45" fillId="0" borderId="11" xfId="0" applyFont="1" applyBorder="1" applyAlignment="1">
      <alignment horizontal="left" indent="1"/>
    </xf>
    <xf numFmtId="164" fontId="45" fillId="18" borderId="11" xfId="0" applyFont="1" applyFill="1" applyBorder="1" applyAlignment="1">
      <alignment horizontal="left" indent="1"/>
    </xf>
    <xf numFmtId="164" fontId="45" fillId="20" borderId="8" xfId="0" applyFont="1" applyFill="1" applyBorder="1" applyAlignment="1">
      <alignment horizontal="left" indent="1"/>
    </xf>
    <xf numFmtId="164" fontId="45" fillId="30" borderId="0" xfId="0" quotePrefix="1" applyFont="1" applyFill="1" applyAlignment="1">
      <alignment horizontal="left" indent="3"/>
    </xf>
    <xf numFmtId="181" fontId="45" fillId="30" borderId="0" xfId="0" applyNumberFormat="1" applyFont="1" applyFill="1"/>
    <xf numFmtId="44" fontId="45" fillId="0" borderId="65" xfId="0" applyNumberFormat="1" applyFont="1" applyBorder="1"/>
    <xf numFmtId="169" fontId="45" fillId="0" borderId="4" xfId="0" applyNumberFormat="1" applyFont="1" applyBorder="1" applyAlignment="1">
      <alignment horizontal="right" indent="1"/>
    </xf>
    <xf numFmtId="164" fontId="45" fillId="0" borderId="61" xfId="0" applyFont="1" applyBorder="1" applyAlignment="1">
      <alignment horizontal="right" indent="1"/>
    </xf>
    <xf numFmtId="164" fontId="45" fillId="0" borderId="4" xfId="0" applyFont="1" applyBorder="1" applyAlignment="1">
      <alignment horizontal="right" indent="1"/>
    </xf>
    <xf numFmtId="171" fontId="45" fillId="0" borderId="62" xfId="0" applyNumberFormat="1" applyFont="1" applyBorder="1" applyAlignment="1">
      <alignment horizontal="right" indent="1"/>
    </xf>
    <xf numFmtId="180" fontId="45" fillId="0" borderId="0" xfId="0" applyNumberFormat="1" applyFont="1" applyAlignment="1">
      <alignment horizontal="right" indent="1"/>
    </xf>
    <xf numFmtId="180" fontId="53" fillId="0" borderId="35" xfId="0" applyNumberFormat="1" applyFont="1" applyBorder="1" applyAlignment="1" applyProtection="1">
      <alignment horizontal="right" indent="1"/>
      <protection locked="0"/>
    </xf>
    <xf numFmtId="175" fontId="45" fillId="0" borderId="67" xfId="0" applyNumberFormat="1" applyFont="1" applyBorder="1"/>
    <xf numFmtId="178" fontId="45" fillId="0" borderId="0" xfId="0" applyNumberFormat="1" applyFont="1" applyAlignment="1">
      <alignment horizontal="right" indent="1"/>
    </xf>
    <xf numFmtId="1" fontId="45" fillId="0" borderId="0" xfId="0" applyNumberFormat="1" applyFont="1" applyAlignment="1">
      <alignment horizontal="right" indent="1"/>
    </xf>
    <xf numFmtId="177" fontId="45" fillId="0" borderId="0" xfId="0" applyNumberFormat="1" applyFont="1" applyAlignment="1">
      <alignment horizontal="right" indent="1"/>
    </xf>
    <xf numFmtId="164" fontId="45" fillId="0" borderId="5" xfId="0" applyFont="1" applyBorder="1" applyAlignment="1">
      <alignment horizontal="right" indent="1"/>
    </xf>
    <xf numFmtId="171" fontId="45" fillId="0" borderId="50" xfId="0" applyNumberFormat="1" applyFont="1" applyBorder="1" applyAlignment="1">
      <alignment horizontal="right" indent="1"/>
    </xf>
    <xf numFmtId="171" fontId="45" fillId="0" borderId="35" xfId="0" applyNumberFormat="1" applyFont="1" applyBorder="1" applyAlignment="1">
      <alignment horizontal="right" indent="1"/>
    </xf>
    <xf numFmtId="180" fontId="45" fillId="0" borderId="35" xfId="0" applyNumberFormat="1" applyFont="1" applyBorder="1" applyAlignment="1">
      <alignment horizontal="right" indent="1"/>
    </xf>
    <xf numFmtId="37" fontId="45" fillId="0" borderId="0" xfId="0" applyNumberFormat="1" applyFont="1" applyAlignment="1" applyProtection="1">
      <alignment horizontal="right" indent="1"/>
      <protection locked="0"/>
    </xf>
    <xf numFmtId="164" fontId="71" fillId="0" borderId="0" xfId="0" applyFont="1" applyAlignment="1">
      <alignment vertical="center" wrapText="1"/>
    </xf>
    <xf numFmtId="170" fontId="64" fillId="0" borderId="54" xfId="0" applyNumberFormat="1" applyFont="1" applyBorder="1"/>
    <xf numFmtId="179" fontId="64" fillId="0" borderId="54" xfId="274" applyNumberFormat="1" applyFont="1" applyBorder="1"/>
    <xf numFmtId="170" fontId="64" fillId="0" borderId="14" xfId="0" applyNumberFormat="1" applyFont="1" applyBorder="1"/>
    <xf numFmtId="179" fontId="64" fillId="0" borderId="14" xfId="274" applyNumberFormat="1" applyFont="1" applyBorder="1"/>
    <xf numFmtId="164" fontId="68" fillId="27" borderId="65" xfId="0" applyFont="1" applyFill="1" applyBorder="1" applyAlignment="1">
      <alignment horizontal="center"/>
    </xf>
    <xf numFmtId="170" fontId="64" fillId="0" borderId="68" xfId="0" applyNumberFormat="1" applyFont="1" applyBorder="1"/>
    <xf numFmtId="170" fontId="64" fillId="0" borderId="69" xfId="0" applyNumberFormat="1" applyFont="1" applyBorder="1"/>
    <xf numFmtId="179" fontId="64" fillId="0" borderId="70" xfId="274" applyNumberFormat="1" applyFont="1" applyBorder="1"/>
    <xf numFmtId="179" fontId="64" fillId="0" borderId="71" xfId="274" applyNumberFormat="1" applyFont="1" applyBorder="1"/>
    <xf numFmtId="164" fontId="68" fillId="27" borderId="45" xfId="0" applyFont="1" applyFill="1" applyBorder="1" applyAlignment="1">
      <alignment horizontal="center"/>
    </xf>
    <xf numFmtId="164" fontId="68" fillId="27" borderId="38" xfId="0" applyFont="1" applyFill="1" applyBorder="1" applyAlignment="1">
      <alignment horizontal="center"/>
    </xf>
    <xf numFmtId="164" fontId="68" fillId="34" borderId="38" xfId="0" applyFont="1" applyFill="1" applyBorder="1" applyAlignment="1">
      <alignment horizontal="center"/>
    </xf>
    <xf numFmtId="164" fontId="68" fillId="35" borderId="38" xfId="0" applyFont="1" applyFill="1" applyBorder="1" applyAlignment="1">
      <alignment horizontal="center"/>
    </xf>
    <xf numFmtId="164" fontId="68" fillId="35" borderId="44" xfId="0" applyFont="1" applyFill="1" applyBorder="1" applyAlignment="1">
      <alignment horizontal="center"/>
    </xf>
    <xf numFmtId="170" fontId="64" fillId="0" borderId="72" xfId="0" applyNumberFormat="1" applyFont="1" applyBorder="1"/>
    <xf numFmtId="170" fontId="64" fillId="0" borderId="28" xfId="0" applyNumberFormat="1" applyFont="1" applyBorder="1"/>
    <xf numFmtId="179" fontId="64" fillId="0" borderId="28" xfId="274" applyNumberFormat="1" applyFont="1" applyBorder="1"/>
    <xf numFmtId="179" fontId="64" fillId="0" borderId="73" xfId="274" applyNumberFormat="1" applyFont="1" applyBorder="1"/>
    <xf numFmtId="179" fontId="58" fillId="0" borderId="0" xfId="274" applyNumberFormat="1" applyFont="1" applyFill="1" applyBorder="1" applyAlignment="1" applyProtection="1">
      <alignment horizontal="right" indent="1"/>
    </xf>
    <xf numFmtId="179" fontId="58" fillId="0" borderId="4" xfId="0" applyNumberFormat="1" applyFont="1" applyBorder="1" applyProtection="1">
      <protection locked="0"/>
    </xf>
    <xf numFmtId="179" fontId="58" fillId="0" borderId="60" xfId="0" applyNumberFormat="1" applyFont="1" applyBorder="1" applyProtection="1">
      <protection locked="0"/>
    </xf>
    <xf numFmtId="179" fontId="58" fillId="0" borderId="35" xfId="0" applyNumberFormat="1" applyFont="1" applyBorder="1" applyProtection="1">
      <protection locked="0"/>
    </xf>
    <xf numFmtId="179" fontId="58" fillId="0" borderId="7" xfId="0" applyNumberFormat="1" applyFont="1" applyBorder="1" applyProtection="1">
      <protection locked="0"/>
    </xf>
    <xf numFmtId="40" fontId="58" fillId="0" borderId="4" xfId="0" applyNumberFormat="1" applyFont="1" applyBorder="1" applyProtection="1">
      <protection locked="0"/>
    </xf>
    <xf numFmtId="164" fontId="58" fillId="0" borderId="4" xfId="0" applyFont="1" applyBorder="1" applyAlignment="1" applyProtection="1">
      <alignment horizontal="center"/>
      <protection locked="0"/>
    </xf>
    <xf numFmtId="44" fontId="58" fillId="0" borderId="65" xfId="0" applyNumberFormat="1" applyFont="1" applyBorder="1" applyProtection="1">
      <protection locked="0"/>
    </xf>
    <xf numFmtId="164" fontId="58" fillId="0" borderId="60" xfId="0" applyFont="1" applyBorder="1" applyAlignment="1" applyProtection="1">
      <alignment horizontal="left"/>
      <protection locked="0"/>
    </xf>
    <xf numFmtId="179" fontId="78" fillId="0" borderId="0" xfId="274" applyNumberFormat="1" applyFont="1" applyFill="1" applyBorder="1" applyAlignment="1" applyProtection="1">
      <alignment horizontal="right" indent="1"/>
    </xf>
    <xf numFmtId="179" fontId="51" fillId="0" borderId="0" xfId="0" applyNumberFormat="1" applyFont="1"/>
    <xf numFmtId="0" fontId="79" fillId="0" borderId="0" xfId="346" applyFont="1" applyAlignment="1">
      <alignment horizontal="right"/>
    </xf>
    <xf numFmtId="0" fontId="79" fillId="0" borderId="0" xfId="346" applyFont="1" applyAlignment="1">
      <alignment horizontal="center"/>
    </xf>
    <xf numFmtId="171" fontId="80" fillId="0" borderId="4" xfId="346" applyNumberFormat="1" applyFont="1" applyBorder="1" applyAlignment="1" applyProtection="1">
      <alignment horizontal="right"/>
      <protection locked="0"/>
    </xf>
    <xf numFmtId="164" fontId="45" fillId="0" borderId="40" xfId="0" applyFont="1" applyBorder="1" applyAlignment="1">
      <alignment horizontal="left" indent="1" shrinkToFit="1"/>
    </xf>
    <xf numFmtId="164" fontId="45" fillId="0" borderId="11" xfId="0" applyFont="1" applyBorder="1" applyAlignment="1">
      <alignment horizontal="left" indent="1" shrinkToFit="1"/>
    </xf>
    <xf numFmtId="164" fontId="45" fillId="0" borderId="11" xfId="0" quotePrefix="1" applyFont="1" applyBorder="1" applyAlignment="1">
      <alignment horizontal="left" indent="1" shrinkToFit="1"/>
    </xf>
    <xf numFmtId="164" fontId="45" fillId="18" borderId="11" xfId="0" applyFont="1" applyFill="1" applyBorder="1" applyAlignment="1">
      <alignment horizontal="left" indent="1" shrinkToFit="1"/>
    </xf>
    <xf numFmtId="164" fontId="45" fillId="18" borderId="11" xfId="0" quotePrefix="1" applyFont="1" applyFill="1" applyBorder="1" applyAlignment="1">
      <alignment horizontal="left" indent="1" shrinkToFit="1"/>
    </xf>
    <xf numFmtId="164" fontId="45" fillId="0" borderId="38" xfId="0" quotePrefix="1" applyFont="1" applyBorder="1" applyAlignment="1">
      <alignment horizontal="left" indent="1" shrinkToFit="1"/>
    </xf>
    <xf numFmtId="164" fontId="45" fillId="18" borderId="40" xfId="0" applyFont="1" applyFill="1" applyBorder="1" applyAlignment="1">
      <alignment horizontal="left" indent="1" shrinkToFit="1"/>
    </xf>
    <xf numFmtId="164" fontId="45" fillId="18" borderId="38" xfId="0" quotePrefix="1" applyFont="1" applyFill="1" applyBorder="1" applyAlignment="1">
      <alignment horizontal="left" indent="1" shrinkToFit="1"/>
    </xf>
    <xf numFmtId="164" fontId="51" fillId="0" borderId="60" xfId="0" applyFont="1" applyBorder="1" applyAlignment="1">
      <alignment horizontal="left"/>
    </xf>
    <xf numFmtId="164" fontId="81" fillId="0" borderId="0" xfId="0" applyFont="1" applyAlignment="1">
      <alignment horizontal="justify" vertical="top" wrapText="1"/>
    </xf>
    <xf numFmtId="164" fontId="58" fillId="0" borderId="0" xfId="0" applyFont="1" applyProtection="1">
      <protection locked="0"/>
    </xf>
    <xf numFmtId="169" fontId="58" fillId="0" borderId="4" xfId="0" applyNumberFormat="1" applyFont="1" applyBorder="1" applyAlignment="1" applyProtection="1">
      <alignment horizontal="right" indent="1"/>
      <protection locked="0"/>
    </xf>
    <xf numFmtId="164" fontId="58" fillId="0" borderId="5" xfId="0" applyFont="1" applyBorder="1" applyAlignment="1" applyProtection="1">
      <alignment horizontal="right" indent="1"/>
      <protection locked="0"/>
    </xf>
    <xf numFmtId="164" fontId="58" fillId="0" borderId="4" xfId="0" applyFont="1" applyBorder="1" applyAlignment="1" applyProtection="1">
      <alignment horizontal="right" indent="1"/>
      <protection locked="0"/>
    </xf>
    <xf numFmtId="171" fontId="58" fillId="0" borderId="50" xfId="0" applyNumberFormat="1" applyFont="1" applyBorder="1" applyAlignment="1" applyProtection="1">
      <alignment horizontal="right" indent="1"/>
      <protection locked="0"/>
    </xf>
    <xf numFmtId="171" fontId="58" fillId="0" borderId="35" xfId="0" applyNumberFormat="1" applyFont="1" applyBorder="1" applyAlignment="1" applyProtection="1">
      <alignment horizontal="right" indent="1"/>
      <protection locked="0"/>
    </xf>
    <xf numFmtId="38" fontId="58" fillId="0" borderId="6" xfId="0" applyNumberFormat="1" applyFont="1" applyBorder="1" applyProtection="1">
      <protection locked="0"/>
    </xf>
    <xf numFmtId="38" fontId="58" fillId="0" borderId="8" xfId="0" applyNumberFormat="1" applyFont="1" applyBorder="1" applyProtection="1">
      <protection locked="0"/>
    </xf>
    <xf numFmtId="164" fontId="58" fillId="29" borderId="6" xfId="0" applyFont="1" applyFill="1" applyBorder="1" applyAlignment="1" applyProtection="1">
      <alignment horizontal="left" indent="1"/>
      <protection locked="0"/>
    </xf>
    <xf numFmtId="38" fontId="58" fillId="29" borderId="29" xfId="0" applyNumberFormat="1" applyFont="1" applyFill="1" applyBorder="1" applyProtection="1">
      <protection locked="0"/>
    </xf>
    <xf numFmtId="182" fontId="58" fillId="29" borderId="10" xfId="0" applyNumberFormat="1" applyFont="1" applyFill="1" applyBorder="1" applyProtection="1">
      <protection locked="0"/>
    </xf>
    <xf numFmtId="164" fontId="58" fillId="0" borderId="11" xfId="0" applyFont="1" applyBorder="1" applyAlignment="1" applyProtection="1">
      <alignment horizontal="left" indent="1"/>
      <protection locked="0"/>
    </xf>
    <xf numFmtId="38" fontId="58" fillId="0" borderId="30" xfId="0" applyNumberFormat="1" applyFont="1" applyBorder="1" applyProtection="1">
      <protection locked="0"/>
    </xf>
    <xf numFmtId="182" fontId="58" fillId="0" borderId="5" xfId="0" applyNumberFormat="1" applyFont="1" applyBorder="1" applyProtection="1">
      <protection locked="0"/>
    </xf>
    <xf numFmtId="164" fontId="58" fillId="30" borderId="11" xfId="0" applyFont="1" applyFill="1" applyBorder="1" applyAlignment="1" applyProtection="1">
      <alignment horizontal="left" indent="1"/>
      <protection locked="0"/>
    </xf>
    <xf numFmtId="38" fontId="58" fillId="30" borderId="30" xfId="0" applyNumberFormat="1" applyFont="1" applyFill="1" applyBorder="1" applyProtection="1">
      <protection locked="0"/>
    </xf>
    <xf numFmtId="182" fontId="58" fillId="30" borderId="5" xfId="0" applyNumberFormat="1" applyFont="1" applyFill="1" applyBorder="1" applyProtection="1">
      <protection locked="0"/>
    </xf>
    <xf numFmtId="164" fontId="58" fillId="29" borderId="8" xfId="0" applyFont="1" applyFill="1" applyBorder="1" applyAlignment="1" applyProtection="1">
      <alignment horizontal="left" indent="1"/>
      <protection locked="0"/>
    </xf>
    <xf numFmtId="38" fontId="58" fillId="29" borderId="31" xfId="0" applyNumberFormat="1" applyFont="1" applyFill="1" applyBorder="1" applyProtection="1">
      <protection locked="0"/>
    </xf>
    <xf numFmtId="182" fontId="58" fillId="29" borderId="12" xfId="0" applyNumberFormat="1" applyFont="1" applyFill="1" applyBorder="1" applyProtection="1">
      <protection locked="0"/>
    </xf>
    <xf numFmtId="176" fontId="58" fillId="29" borderId="10" xfId="0" applyNumberFormat="1" applyFont="1" applyFill="1" applyBorder="1" applyProtection="1">
      <protection locked="0"/>
    </xf>
    <xf numFmtId="176" fontId="58" fillId="0" borderId="5" xfId="0" applyNumberFormat="1" applyFont="1" applyBorder="1" applyProtection="1">
      <protection locked="0"/>
    </xf>
    <xf numFmtId="176" fontId="58" fillId="30" borderId="5" xfId="0" applyNumberFormat="1" applyFont="1" applyFill="1" applyBorder="1" applyProtection="1">
      <protection locked="0"/>
    </xf>
    <xf numFmtId="176" fontId="58" fillId="29" borderId="12" xfId="0" applyNumberFormat="1" applyFont="1" applyFill="1" applyBorder="1" applyProtection="1">
      <protection locked="0"/>
    </xf>
    <xf numFmtId="38" fontId="58" fillId="0" borderId="32" xfId="0" applyNumberFormat="1" applyFont="1" applyBorder="1" applyProtection="1">
      <protection locked="0"/>
    </xf>
    <xf numFmtId="176" fontId="58" fillId="0" borderId="6" xfId="0" applyNumberFormat="1" applyFont="1" applyBorder="1" applyProtection="1">
      <protection locked="0"/>
    </xf>
    <xf numFmtId="38" fontId="58" fillId="0" borderId="33" xfId="0" applyNumberFormat="1" applyFont="1" applyBorder="1" applyProtection="1">
      <protection locked="0"/>
    </xf>
    <xf numFmtId="176" fontId="58" fillId="0" borderId="11" xfId="0" applyNumberFormat="1" applyFont="1" applyBorder="1" applyProtection="1">
      <protection locked="0"/>
    </xf>
    <xf numFmtId="38" fontId="58" fillId="0" borderId="34" xfId="0" applyNumberFormat="1" applyFont="1" applyBorder="1" applyProtection="1">
      <protection locked="0"/>
    </xf>
    <xf numFmtId="176" fontId="58" fillId="0" borderId="38" xfId="0" applyNumberFormat="1" applyFont="1" applyBorder="1" applyProtection="1">
      <protection locked="0"/>
    </xf>
    <xf numFmtId="164" fontId="58" fillId="0" borderId="40" xfId="0" applyFont="1" applyBorder="1" applyAlignment="1" applyProtection="1">
      <alignment horizontal="left" indent="1" shrinkToFit="1"/>
      <protection locked="0"/>
    </xf>
    <xf numFmtId="164" fontId="58" fillId="0" borderId="0" xfId="0" applyFont="1" applyAlignment="1" applyProtection="1">
      <alignment horizontal="left" vertical="center" indent="1"/>
      <protection locked="0"/>
    </xf>
    <xf numFmtId="40" fontId="58" fillId="0" borderId="11" xfId="0" applyNumberFormat="1" applyFont="1" applyBorder="1" applyAlignment="1" applyProtection="1">
      <alignment horizontal="right"/>
      <protection locked="0"/>
    </xf>
    <xf numFmtId="164" fontId="58" fillId="0" borderId="11" xfId="0" applyFont="1" applyBorder="1" applyAlignment="1" applyProtection="1">
      <alignment horizontal="center"/>
      <protection locked="0"/>
    </xf>
    <xf numFmtId="44" fontId="58" fillId="0" borderId="11" xfId="0" applyNumberFormat="1" applyFont="1" applyBorder="1" applyAlignment="1" applyProtection="1">
      <alignment horizontal="right"/>
      <protection locked="0"/>
    </xf>
    <xf numFmtId="164" fontId="58" fillId="0" borderId="11" xfId="0" applyFont="1" applyBorder="1" applyAlignment="1" applyProtection="1">
      <alignment horizontal="left" indent="1" shrinkToFit="1"/>
      <protection locked="0"/>
    </xf>
    <xf numFmtId="164" fontId="58" fillId="0" borderId="11" xfId="0" quotePrefix="1" applyFont="1" applyBorder="1" applyAlignment="1" applyProtection="1">
      <alignment horizontal="left" indent="1" shrinkToFit="1"/>
      <protection locked="0"/>
    </xf>
    <xf numFmtId="164" fontId="58" fillId="30" borderId="11" xfId="0" applyFont="1" applyFill="1" applyBorder="1" applyAlignment="1" applyProtection="1">
      <alignment horizontal="left" indent="1" shrinkToFit="1"/>
      <protection locked="0"/>
    </xf>
    <xf numFmtId="164" fontId="58" fillId="30" borderId="16" xfId="0" applyFont="1" applyFill="1" applyBorder="1" applyAlignment="1" applyProtection="1">
      <alignment horizontal="left" vertical="center" indent="1"/>
      <protection locked="0"/>
    </xf>
    <xf numFmtId="164" fontId="58" fillId="30" borderId="0" xfId="0" applyFont="1" applyFill="1" applyAlignment="1" applyProtection="1">
      <alignment horizontal="left" vertical="center" indent="1"/>
      <protection locked="0"/>
    </xf>
    <xf numFmtId="164" fontId="58" fillId="30" borderId="17" xfId="0" applyFont="1" applyFill="1" applyBorder="1" applyAlignment="1" applyProtection="1">
      <alignment horizontal="left" vertical="center" indent="1"/>
      <protection locked="0"/>
    </xf>
    <xf numFmtId="40" fontId="58" fillId="30" borderId="11" xfId="0" applyNumberFormat="1" applyFont="1" applyFill="1" applyBorder="1" applyAlignment="1" applyProtection="1">
      <alignment horizontal="right"/>
      <protection locked="0"/>
    </xf>
    <xf numFmtId="164" fontId="58" fillId="30" borderId="11" xfId="0" applyFont="1" applyFill="1" applyBorder="1" applyAlignment="1" applyProtection="1">
      <alignment horizontal="center"/>
      <protection locked="0"/>
    </xf>
    <xf numFmtId="44" fontId="58" fillId="30" borderId="11" xfId="0" applyNumberFormat="1" applyFont="1" applyFill="1" applyBorder="1" applyAlignment="1" applyProtection="1">
      <alignment horizontal="right"/>
      <protection locked="0"/>
    </xf>
    <xf numFmtId="164" fontId="58" fillId="0" borderId="16" xfId="0" applyFont="1" applyBorder="1" applyAlignment="1" applyProtection="1">
      <alignment horizontal="left" vertical="center" indent="1"/>
      <protection locked="0"/>
    </xf>
    <xf numFmtId="164" fontId="58" fillId="0" borderId="17" xfId="0" applyFont="1" applyBorder="1" applyAlignment="1" applyProtection="1">
      <alignment horizontal="left" vertical="center" indent="1"/>
      <protection locked="0"/>
    </xf>
    <xf numFmtId="164" fontId="58" fillId="30" borderId="11" xfId="0" quotePrefix="1" applyFont="1" applyFill="1" applyBorder="1" applyAlignment="1" applyProtection="1">
      <alignment horizontal="left" indent="1" shrinkToFit="1"/>
      <protection locked="0"/>
    </xf>
    <xf numFmtId="164" fontId="58" fillId="0" borderId="38" xfId="0" quotePrefix="1" applyFont="1" applyBorder="1" applyAlignment="1" applyProtection="1">
      <alignment horizontal="left" indent="1" shrinkToFit="1"/>
      <protection locked="0"/>
    </xf>
    <xf numFmtId="164" fontId="58" fillId="0" borderId="44" xfId="0" applyFont="1" applyBorder="1" applyAlignment="1" applyProtection="1">
      <alignment horizontal="left" vertical="center" indent="1"/>
      <protection locked="0"/>
    </xf>
    <xf numFmtId="164" fontId="58" fillId="0" borderId="36" xfId="0" applyFont="1" applyBorder="1" applyAlignment="1" applyProtection="1">
      <alignment horizontal="left" vertical="center" indent="1"/>
      <protection locked="0"/>
    </xf>
    <xf numFmtId="164" fontId="58" fillId="0" borderId="45" xfId="0" applyFont="1" applyBorder="1" applyAlignment="1" applyProtection="1">
      <alignment horizontal="left" vertical="center" indent="1"/>
      <protection locked="0"/>
    </xf>
    <xf numFmtId="40" fontId="58" fillId="0" borderId="38" xfId="0" applyNumberFormat="1" applyFont="1" applyBorder="1" applyAlignment="1" applyProtection="1">
      <alignment horizontal="right"/>
      <protection locked="0"/>
    </xf>
    <xf numFmtId="164" fontId="58" fillId="0" borderId="38" xfId="0" applyFont="1" applyBorder="1" applyAlignment="1" applyProtection="1">
      <alignment horizontal="center"/>
      <protection locked="0"/>
    </xf>
    <xf numFmtId="44" fontId="58" fillId="0" borderId="38" xfId="0" applyNumberFormat="1" applyFont="1" applyBorder="1" applyAlignment="1" applyProtection="1">
      <alignment horizontal="right"/>
      <protection locked="0"/>
    </xf>
    <xf numFmtId="40" fontId="58" fillId="0" borderId="40" xfId="0" applyNumberFormat="1" applyFont="1" applyBorder="1" applyAlignment="1" applyProtection="1">
      <alignment horizontal="right"/>
      <protection locked="0"/>
    </xf>
    <xf numFmtId="164" fontId="58" fillId="0" borderId="40" xfId="0" applyFont="1" applyBorder="1" applyAlignment="1" applyProtection="1">
      <alignment horizontal="center"/>
      <protection locked="0"/>
    </xf>
    <xf numFmtId="44" fontId="58" fillId="0" borderId="40" xfId="0" applyNumberFormat="1" applyFont="1" applyBorder="1" applyAlignment="1" applyProtection="1">
      <alignment horizontal="right"/>
      <protection locked="0"/>
    </xf>
    <xf numFmtId="164" fontId="58" fillId="30" borderId="40" xfId="0" applyFont="1" applyFill="1" applyBorder="1" applyAlignment="1" applyProtection="1">
      <alignment horizontal="left" indent="1" shrinkToFit="1"/>
      <protection locked="0"/>
    </xf>
    <xf numFmtId="40" fontId="58" fillId="30" borderId="40" xfId="0" applyNumberFormat="1" applyFont="1" applyFill="1" applyBorder="1" applyAlignment="1" applyProtection="1">
      <alignment horizontal="right"/>
      <protection locked="0"/>
    </xf>
    <xf numFmtId="164" fontId="58" fillId="30" borderId="40" xfId="0" applyFont="1" applyFill="1" applyBorder="1" applyAlignment="1" applyProtection="1">
      <alignment horizontal="center"/>
      <protection locked="0"/>
    </xf>
    <xf numFmtId="44" fontId="58" fillId="30" borderId="40" xfId="0" applyNumberFormat="1" applyFont="1" applyFill="1" applyBorder="1" applyAlignment="1" applyProtection="1">
      <alignment horizontal="right"/>
      <protection locked="0"/>
    </xf>
    <xf numFmtId="164" fontId="58" fillId="30" borderId="38" xfId="0" quotePrefix="1" applyFont="1" applyFill="1" applyBorder="1" applyAlignment="1" applyProtection="1">
      <alignment horizontal="left" indent="1" shrinkToFit="1"/>
      <protection locked="0"/>
    </xf>
    <xf numFmtId="40" fontId="58" fillId="30" borderId="38" xfId="0" applyNumberFormat="1" applyFont="1" applyFill="1" applyBorder="1" applyAlignment="1" applyProtection="1">
      <alignment horizontal="right"/>
      <protection locked="0"/>
    </xf>
    <xf numFmtId="164" fontId="58" fillId="30" borderId="38" xfId="0" applyFont="1" applyFill="1" applyBorder="1" applyAlignment="1" applyProtection="1">
      <alignment horizontal="center"/>
      <protection locked="0"/>
    </xf>
    <xf numFmtId="44" fontId="58" fillId="30" borderId="38" xfId="0" applyNumberFormat="1" applyFont="1" applyFill="1" applyBorder="1" applyAlignment="1" applyProtection="1">
      <alignment horizontal="right"/>
      <protection locked="0"/>
    </xf>
    <xf numFmtId="42" fontId="58" fillId="0" borderId="4" xfId="0" applyNumberFormat="1" applyFont="1" applyBorder="1" applyProtection="1">
      <protection locked="0"/>
    </xf>
    <xf numFmtId="164" fontId="58" fillId="0" borderId="0" xfId="0" applyFont="1" applyAlignment="1" applyProtection="1">
      <alignment horizontal="left" indent="1"/>
      <protection locked="0"/>
    </xf>
    <xf numFmtId="164" fontId="58" fillId="0" borderId="0" xfId="0" applyFont="1"/>
    <xf numFmtId="164" fontId="34" fillId="37" borderId="60" xfId="0" applyFont="1" applyFill="1" applyBorder="1" applyAlignment="1">
      <alignment horizontal="center" vertical="center"/>
    </xf>
    <xf numFmtId="164" fontId="34" fillId="38" borderId="60" xfId="0" applyFont="1" applyFill="1" applyBorder="1" applyAlignment="1">
      <alignment horizontal="center" vertical="center"/>
    </xf>
    <xf numFmtId="164" fontId="4" fillId="39" borderId="60" xfId="0" applyFont="1" applyFill="1" applyBorder="1" applyAlignment="1">
      <alignment horizontal="center" vertical="center"/>
    </xf>
    <xf numFmtId="164" fontId="34" fillId="40" borderId="60" xfId="0" applyFont="1" applyFill="1" applyBorder="1" applyAlignment="1">
      <alignment horizontal="center" vertical="center"/>
    </xf>
    <xf numFmtId="164" fontId="34" fillId="41" borderId="60" xfId="0" applyFont="1" applyFill="1" applyBorder="1" applyAlignment="1">
      <alignment horizontal="center" vertical="center"/>
    </xf>
    <xf numFmtId="164" fontId="44" fillId="30" borderId="0" xfId="0" applyFont="1" applyFill="1" applyAlignment="1">
      <alignment horizontal="justify" vertical="top" wrapText="1"/>
    </xf>
    <xf numFmtId="0" fontId="80" fillId="0" borderId="0" xfId="346" applyFont="1"/>
    <xf numFmtId="184" fontId="80" fillId="0" borderId="0" xfId="346" applyNumberFormat="1" applyFont="1" applyAlignment="1">
      <alignment horizontal="right"/>
    </xf>
    <xf numFmtId="185" fontId="80" fillId="0" borderId="0" xfId="346" applyNumberFormat="1" applyFont="1" applyAlignment="1">
      <alignment horizontal="right"/>
    </xf>
    <xf numFmtId="186" fontId="80" fillId="0" borderId="0" xfId="346" applyNumberFormat="1" applyFont="1" applyAlignment="1">
      <alignment horizontal="right"/>
    </xf>
    <xf numFmtId="171" fontId="80" fillId="0" borderId="0" xfId="346" applyNumberFormat="1" applyFont="1" applyAlignment="1">
      <alignment horizontal="right"/>
    </xf>
    <xf numFmtId="184" fontId="80" fillId="0" borderId="0" xfId="346" applyNumberFormat="1" applyFont="1"/>
    <xf numFmtId="179" fontId="80" fillId="0" borderId="0" xfId="347" applyNumberFormat="1" applyFont="1" applyProtection="1"/>
    <xf numFmtId="187" fontId="80" fillId="0" borderId="0" xfId="347" applyNumberFormat="1" applyFont="1" applyProtection="1"/>
    <xf numFmtId="0" fontId="87" fillId="0" borderId="0" xfId="346" applyFont="1" applyAlignment="1">
      <alignment horizontal="center"/>
    </xf>
    <xf numFmtId="0" fontId="87" fillId="0" borderId="0" xfId="346" applyFont="1" applyAlignment="1">
      <alignment horizontal="right"/>
    </xf>
    <xf numFmtId="184" fontId="76" fillId="0" borderId="0" xfId="346" applyNumberFormat="1" applyFont="1" applyAlignment="1">
      <alignment horizontal="right"/>
    </xf>
    <xf numFmtId="185" fontId="76" fillId="0" borderId="0" xfId="346" applyNumberFormat="1" applyFont="1" applyAlignment="1">
      <alignment horizontal="right"/>
    </xf>
    <xf numFmtId="186" fontId="76" fillId="0" borderId="0" xfId="346" applyNumberFormat="1" applyFont="1" applyAlignment="1">
      <alignment horizontal="right"/>
    </xf>
    <xf numFmtId="171" fontId="76" fillId="0" borderId="0" xfId="346" applyNumberFormat="1" applyFont="1" applyAlignment="1">
      <alignment horizontal="right"/>
    </xf>
    <xf numFmtId="188" fontId="76" fillId="0" borderId="0" xfId="346" applyNumberFormat="1" applyFont="1"/>
    <xf numFmtId="184" fontId="76" fillId="0" borderId="0" xfId="346" applyNumberFormat="1" applyFont="1"/>
    <xf numFmtId="179" fontId="76" fillId="0" borderId="0" xfId="347" applyNumberFormat="1" applyFont="1" applyProtection="1"/>
    <xf numFmtId="0" fontId="89" fillId="0" borderId="0" xfId="346" applyFont="1"/>
    <xf numFmtId="0" fontId="90" fillId="0" borderId="0" xfId="346" applyFont="1" applyAlignment="1">
      <alignment horizontal="center"/>
    </xf>
    <xf numFmtId="0" fontId="91" fillId="0" borderId="0" xfId="346" applyFont="1" applyAlignment="1">
      <alignment horizontal="right"/>
    </xf>
    <xf numFmtId="184" fontId="89" fillId="0" borderId="0" xfId="346" applyNumberFormat="1" applyFont="1" applyAlignment="1">
      <alignment horizontal="right"/>
    </xf>
    <xf numFmtId="185" fontId="89" fillId="0" borderId="0" xfId="346" applyNumberFormat="1" applyFont="1" applyAlignment="1">
      <alignment horizontal="right"/>
    </xf>
    <xf numFmtId="186" fontId="89" fillId="0" borderId="0" xfId="346" applyNumberFormat="1" applyFont="1" applyAlignment="1">
      <alignment horizontal="right"/>
    </xf>
    <xf numFmtId="171" fontId="89" fillId="0" borderId="0" xfId="346" applyNumberFormat="1" applyFont="1" applyAlignment="1">
      <alignment horizontal="right"/>
    </xf>
    <xf numFmtId="184" fontId="89" fillId="0" borderId="0" xfId="346" applyNumberFormat="1" applyFont="1"/>
    <xf numFmtId="179" fontId="89" fillId="0" borderId="0" xfId="347" applyNumberFormat="1" applyFont="1" applyProtection="1"/>
    <xf numFmtId="187" fontId="89" fillId="0" borderId="0" xfId="347" applyNumberFormat="1" applyFont="1" applyProtection="1"/>
    <xf numFmtId="187" fontId="82" fillId="36" borderId="60" xfId="347" applyNumberFormat="1" applyFont="1" applyFill="1" applyBorder="1" applyProtection="1">
      <protection locked="0"/>
    </xf>
    <xf numFmtId="164" fontId="72" fillId="28" borderId="0" xfId="0" applyFont="1" applyFill="1" applyAlignment="1">
      <alignment horizontal="center"/>
    </xf>
    <xf numFmtId="164" fontId="71" fillId="28" borderId="0" xfId="0" applyFont="1" applyFill="1" applyAlignment="1">
      <alignment horizontal="center"/>
    </xf>
    <xf numFmtId="164" fontId="59" fillId="31" borderId="33" xfId="0" applyFont="1" applyFill="1" applyBorder="1" applyAlignment="1">
      <alignment horizontal="center"/>
    </xf>
    <xf numFmtId="164" fontId="59" fillId="31" borderId="0" xfId="0" applyFont="1" applyFill="1" applyAlignment="1">
      <alignment horizontal="center"/>
    </xf>
    <xf numFmtId="164" fontId="46" fillId="0" borderId="0" xfId="0" applyFont="1" applyAlignment="1">
      <alignment horizontal="left"/>
    </xf>
    <xf numFmtId="164" fontId="45" fillId="0" borderId="0" xfId="0" applyFont="1" applyAlignment="1">
      <alignment horizontal="center"/>
    </xf>
    <xf numFmtId="164" fontId="71" fillId="31" borderId="0" xfId="0" applyFont="1" applyFill="1" applyAlignment="1">
      <alignment horizontal="center" vertical="center" wrapText="1"/>
    </xf>
    <xf numFmtId="164" fontId="58" fillId="0" borderId="0" xfId="0" applyFont="1" applyAlignment="1" applyProtection="1">
      <alignment horizontal="left" shrinkToFit="1"/>
      <protection locked="0"/>
    </xf>
    <xf numFmtId="164" fontId="58" fillId="30" borderId="36" xfId="0" applyFont="1" applyFill="1" applyBorder="1" applyAlignment="1" applyProtection="1">
      <alignment horizontal="left" shrinkToFit="1"/>
      <protection locked="0"/>
    </xf>
    <xf numFmtId="164" fontId="45" fillId="0" borderId="43" xfId="0" applyFont="1" applyBorder="1" applyAlignment="1">
      <alignment horizontal="right" indent="1"/>
    </xf>
    <xf numFmtId="164" fontId="45" fillId="0" borderId="46" xfId="0" applyFont="1" applyBorder="1" applyAlignment="1">
      <alignment horizontal="right" indent="1"/>
    </xf>
    <xf numFmtId="164" fontId="58" fillId="0" borderId="0" xfId="0" quotePrefix="1" applyFont="1" applyAlignment="1" applyProtection="1">
      <alignment horizontal="left" indent="3"/>
      <protection locked="0"/>
    </xf>
    <xf numFmtId="164" fontId="58" fillId="0" borderId="16" xfId="0" applyFont="1" applyBorder="1" applyAlignment="1" applyProtection="1">
      <alignment horizontal="left" shrinkToFit="1"/>
      <protection locked="0"/>
    </xf>
    <xf numFmtId="164" fontId="58" fillId="0" borderId="17" xfId="0" applyFont="1" applyBorder="1" applyAlignment="1" applyProtection="1">
      <alignment horizontal="left" shrinkToFit="1"/>
      <protection locked="0"/>
    </xf>
    <xf numFmtId="164" fontId="53" fillId="0" borderId="36" xfId="0" applyFont="1" applyBorder="1" applyAlignment="1">
      <alignment horizontal="left" indent="1" shrinkToFit="1"/>
    </xf>
    <xf numFmtId="164" fontId="46" fillId="30" borderId="41" xfId="0" applyFont="1" applyFill="1" applyBorder="1" applyAlignment="1">
      <alignment horizontal="center" shrinkToFit="1"/>
    </xf>
    <xf numFmtId="164" fontId="46" fillId="30" borderId="47" xfId="0" applyFont="1" applyFill="1" applyBorder="1" applyAlignment="1">
      <alignment horizontal="center" shrinkToFit="1"/>
    </xf>
    <xf numFmtId="164" fontId="46" fillId="30" borderId="48" xfId="0" applyFont="1" applyFill="1" applyBorder="1" applyAlignment="1">
      <alignment horizontal="center" shrinkToFit="1"/>
    </xf>
    <xf numFmtId="164" fontId="58" fillId="30" borderId="16" xfId="0" applyFont="1" applyFill="1" applyBorder="1" applyAlignment="1" applyProtection="1">
      <alignment horizontal="left" shrinkToFit="1"/>
      <protection locked="0"/>
    </xf>
    <xf numFmtId="164" fontId="58" fillId="30" borderId="0" xfId="0" applyFont="1" applyFill="1" applyAlignment="1" applyProtection="1">
      <alignment horizontal="left" shrinkToFit="1"/>
      <protection locked="0"/>
    </xf>
    <xf numFmtId="164" fontId="58" fillId="30" borderId="17" xfId="0" applyFont="1" applyFill="1" applyBorder="1" applyAlignment="1" applyProtection="1">
      <alignment horizontal="left" shrinkToFit="1"/>
      <protection locked="0"/>
    </xf>
    <xf numFmtId="44" fontId="45" fillId="0" borderId="43" xfId="0" applyNumberFormat="1" applyFont="1" applyBorder="1" applyAlignment="1">
      <alignment horizontal="right"/>
    </xf>
    <xf numFmtId="164" fontId="58" fillId="0" borderId="0" xfId="0" applyFont="1" applyAlignment="1" applyProtection="1">
      <alignment horizontal="left"/>
      <protection locked="0"/>
    </xf>
    <xf numFmtId="164" fontId="58" fillId="0" borderId="30" xfId="0" applyFont="1" applyBorder="1" applyAlignment="1" applyProtection="1">
      <alignment horizontal="left"/>
      <protection locked="0"/>
    </xf>
    <xf numFmtId="164" fontId="48" fillId="0" borderId="0" xfId="0" applyFont="1" applyAlignment="1">
      <alignment horizontal="center"/>
    </xf>
    <xf numFmtId="164" fontId="84" fillId="0" borderId="0" xfId="0" applyFont="1" applyAlignment="1" applyProtection="1">
      <alignment horizontal="left"/>
      <protection locked="0"/>
    </xf>
    <xf numFmtId="164" fontId="54" fillId="0" borderId="0" xfId="0" applyFont="1" applyAlignment="1">
      <alignment horizontal="left"/>
    </xf>
    <xf numFmtId="164" fontId="56" fillId="0" borderId="0" xfId="0" applyFont="1" applyAlignment="1">
      <alignment horizontal="left" shrinkToFit="1"/>
    </xf>
    <xf numFmtId="164" fontId="72" fillId="19" borderId="0" xfId="0" applyFont="1" applyFill="1" applyAlignment="1">
      <alignment horizontal="center"/>
    </xf>
    <xf numFmtId="164" fontId="71" fillId="19" borderId="0" xfId="0" applyFont="1" applyFill="1" applyAlignment="1">
      <alignment horizontal="center"/>
    </xf>
    <xf numFmtId="164" fontId="45" fillId="0" borderId="0" xfId="0" applyFont="1" applyAlignment="1">
      <alignment horizontal="left"/>
    </xf>
    <xf numFmtId="164" fontId="45" fillId="0" borderId="0" xfId="0" quotePrefix="1" applyFont="1" applyAlignment="1">
      <alignment horizontal="left" indent="3"/>
    </xf>
    <xf numFmtId="164" fontId="45" fillId="0" borderId="16" xfId="0" applyFont="1" applyBorder="1" applyAlignment="1">
      <alignment horizontal="left" shrinkToFit="1"/>
    </xf>
    <xf numFmtId="164" fontId="45" fillId="0" borderId="0" xfId="0" applyFont="1" applyAlignment="1">
      <alignment horizontal="left" shrinkToFit="1"/>
    </xf>
    <xf numFmtId="164" fontId="45" fillId="0" borderId="17" xfId="0" applyFont="1" applyBorder="1" applyAlignment="1">
      <alignment horizontal="left" shrinkToFit="1"/>
    </xf>
    <xf numFmtId="164" fontId="45" fillId="18" borderId="16" xfId="0" applyFont="1" applyFill="1" applyBorder="1" applyAlignment="1">
      <alignment horizontal="left" shrinkToFit="1"/>
    </xf>
    <xf numFmtId="164" fontId="45" fillId="18" borderId="0" xfId="0" applyFont="1" applyFill="1" applyAlignment="1">
      <alignment horizontal="left" shrinkToFit="1"/>
    </xf>
    <xf numFmtId="164" fontId="45" fillId="18" borderId="17" xfId="0" applyFont="1" applyFill="1" applyBorder="1" applyAlignment="1">
      <alignment horizontal="left" shrinkToFit="1"/>
    </xf>
    <xf numFmtId="164" fontId="45" fillId="18" borderId="36" xfId="0" applyFont="1" applyFill="1" applyBorder="1" applyAlignment="1">
      <alignment horizontal="left" shrinkToFit="1"/>
    </xf>
    <xf numFmtId="164" fontId="45" fillId="0" borderId="44" xfId="0" applyFont="1" applyBorder="1" applyAlignment="1">
      <alignment horizontal="left" shrinkToFit="1"/>
    </xf>
    <xf numFmtId="164" fontId="45" fillId="0" borderId="36" xfId="0" applyFont="1" applyBorder="1" applyAlignment="1">
      <alignment horizontal="left" shrinkToFit="1"/>
    </xf>
    <xf numFmtId="164" fontId="45" fillId="0" borderId="45" xfId="0" applyFont="1" applyBorder="1" applyAlignment="1">
      <alignment horizontal="left" shrinkToFit="1"/>
    </xf>
    <xf numFmtId="164" fontId="45" fillId="0" borderId="36" xfId="0" applyFont="1" applyBorder="1" applyAlignment="1">
      <alignment horizontal="left" indent="1" shrinkToFit="1"/>
    </xf>
    <xf numFmtId="164" fontId="46" fillId="18" borderId="41" xfId="0" applyFont="1" applyFill="1" applyBorder="1" applyAlignment="1">
      <alignment horizontal="center" shrinkToFit="1"/>
    </xf>
    <xf numFmtId="164" fontId="46" fillId="18" borderId="47" xfId="0" applyFont="1" applyFill="1" applyBorder="1" applyAlignment="1">
      <alignment horizontal="center" shrinkToFit="1"/>
    </xf>
    <xf numFmtId="164" fontId="46" fillId="18" borderId="48" xfId="0" applyFont="1" applyFill="1" applyBorder="1" applyAlignment="1">
      <alignment horizontal="center" shrinkToFit="1"/>
    </xf>
    <xf numFmtId="164" fontId="45" fillId="0" borderId="30" xfId="0" applyFont="1" applyBorder="1" applyAlignment="1">
      <alignment horizontal="left"/>
    </xf>
    <xf numFmtId="0" fontId="88" fillId="0" borderId="0" xfId="346" applyFont="1" applyAlignment="1">
      <alignment horizontal="center"/>
    </xf>
    <xf numFmtId="164" fontId="86" fillId="0" borderId="0" xfId="0" applyFont="1" applyAlignment="1">
      <alignment horizontal="center"/>
    </xf>
    <xf numFmtId="0" fontId="85" fillId="0" borderId="0" xfId="346" applyFont="1" applyAlignment="1">
      <alignment horizontal="center"/>
    </xf>
    <xf numFmtId="164" fontId="39" fillId="0" borderId="0" xfId="0" applyFont="1" applyAlignment="1">
      <alignment horizontal="center"/>
    </xf>
    <xf numFmtId="0" fontId="8" fillId="30" borderId="0" xfId="0" applyNumberFormat="1" applyFont="1" applyFill="1" applyAlignment="1">
      <alignment horizontal="center"/>
    </xf>
    <xf numFmtId="0" fontId="9" fillId="32" borderId="41" xfId="0" applyNumberFormat="1" applyFont="1" applyFill="1" applyBorder="1" applyAlignment="1">
      <alignment horizontal="center" vertical="center"/>
    </xf>
    <xf numFmtId="0" fontId="9" fillId="32" borderId="47" xfId="0" applyNumberFormat="1" applyFont="1" applyFill="1" applyBorder="1" applyAlignment="1">
      <alignment horizontal="center" vertical="center"/>
    </xf>
    <xf numFmtId="0" fontId="9" fillId="32" borderId="55" xfId="0" applyNumberFormat="1" applyFont="1" applyFill="1" applyBorder="1" applyAlignment="1">
      <alignment horizontal="center" vertical="center"/>
    </xf>
    <xf numFmtId="0" fontId="9" fillId="32" borderId="48" xfId="0" applyNumberFormat="1" applyFont="1" applyFill="1" applyBorder="1" applyAlignment="1">
      <alignment horizontal="center" vertical="center"/>
    </xf>
    <xf numFmtId="49" fontId="4" fillId="0" borderId="28" xfId="0" applyNumberFormat="1" applyFont="1" applyBorder="1" applyAlignment="1">
      <alignment horizontal="left" vertical="top" wrapText="1"/>
    </xf>
    <xf numFmtId="49" fontId="4" fillId="0" borderId="27" xfId="0" applyNumberFormat="1" applyFont="1" applyBorder="1" applyAlignment="1">
      <alignment horizontal="left" vertical="top" wrapText="1"/>
    </xf>
    <xf numFmtId="49" fontId="2" fillId="30" borderId="56" xfId="0" applyNumberFormat="1" applyFont="1" applyFill="1" applyBorder="1" applyAlignment="1">
      <alignment horizontal="center" vertical="center"/>
    </xf>
    <xf numFmtId="49" fontId="2" fillId="30" borderId="57" xfId="0" applyNumberFormat="1" applyFont="1" applyFill="1" applyBorder="1" applyAlignment="1">
      <alignment horizontal="center" vertical="center"/>
    </xf>
    <xf numFmtId="1" fontId="2" fillId="30" borderId="63" xfId="0" applyNumberFormat="1" applyFont="1" applyFill="1" applyBorder="1" applyAlignment="1">
      <alignment horizontal="center" vertical="top"/>
    </xf>
    <xf numFmtId="1" fontId="2" fillId="30" borderId="64" xfId="0" applyNumberFormat="1" applyFont="1" applyFill="1" applyBorder="1" applyAlignment="1">
      <alignment horizontal="center" vertical="top"/>
    </xf>
    <xf numFmtId="49" fontId="2" fillId="30" borderId="6" xfId="0" applyNumberFormat="1" applyFont="1" applyFill="1" applyBorder="1" applyAlignment="1">
      <alignment horizontal="center" vertical="center"/>
    </xf>
    <xf numFmtId="49" fontId="2" fillId="30" borderId="38" xfId="0" applyNumberFormat="1" applyFont="1" applyFill="1" applyBorder="1" applyAlignment="1">
      <alignment horizontal="center" vertical="center"/>
    </xf>
    <xf numFmtId="49" fontId="2" fillId="30" borderId="6" xfId="0" applyNumberFormat="1" applyFont="1" applyFill="1" applyBorder="1" applyAlignment="1">
      <alignment horizontal="center" vertical="center" wrapText="1"/>
    </xf>
    <xf numFmtId="49" fontId="2" fillId="30" borderId="38" xfId="0" applyNumberFormat="1" applyFont="1" applyFill="1" applyBorder="1" applyAlignment="1">
      <alignment horizontal="center" vertical="center" wrapText="1"/>
    </xf>
    <xf numFmtId="164" fontId="73" fillId="0" borderId="0" xfId="0" applyFont="1" applyAlignment="1">
      <alignment horizontal="center"/>
    </xf>
    <xf numFmtId="164" fontId="68" fillId="27" borderId="63" xfId="0" applyFont="1" applyFill="1" applyBorder="1" applyAlignment="1">
      <alignment horizontal="center"/>
    </xf>
    <xf numFmtId="164" fontId="68" fillId="27" borderId="64" xfId="0" applyFont="1" applyFill="1" applyBorder="1" applyAlignment="1">
      <alignment horizontal="center"/>
    </xf>
    <xf numFmtId="164" fontId="68" fillId="34" borderId="63" xfId="0" applyFont="1" applyFill="1" applyBorder="1" applyAlignment="1">
      <alignment horizontal="center"/>
    </xf>
    <xf numFmtId="164" fontId="68" fillId="34" borderId="13" xfId="0" applyFont="1" applyFill="1" applyBorder="1" applyAlignment="1">
      <alignment horizontal="center"/>
    </xf>
    <xf numFmtId="164" fontId="68" fillId="34" borderId="64" xfId="0" applyFont="1" applyFill="1" applyBorder="1" applyAlignment="1">
      <alignment horizontal="center"/>
    </xf>
    <xf numFmtId="164" fontId="68" fillId="35" borderId="63" xfId="0" applyFont="1" applyFill="1" applyBorder="1" applyAlignment="1">
      <alignment horizontal="center"/>
    </xf>
    <xf numFmtId="164" fontId="68" fillId="35" borderId="13" xfId="0" applyFont="1" applyFill="1" applyBorder="1" applyAlignment="1">
      <alignment horizontal="center"/>
    </xf>
    <xf numFmtId="164" fontId="68" fillId="35" borderId="64" xfId="0" applyFont="1" applyFill="1" applyBorder="1" applyAlignment="1">
      <alignment horizontal="center"/>
    </xf>
    <xf numFmtId="164" fontId="73" fillId="0" borderId="36" xfId="0" applyFont="1" applyBorder="1" applyAlignment="1">
      <alignment horizontal="center"/>
    </xf>
  </cellXfs>
  <cellStyles count="348">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2" xfId="344" xr:uid="{A90C1C31-9920-6D41-9544-EAB314FD5FAC}"/>
    <cellStyle name="Explanatory Text" xfId="28" xr:uid="{00000000-0005-0000-0000-00001B000000}"/>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Good" xfId="29" xr:uid="{00000000-0005-0000-0000-0000B2000000}"/>
    <cellStyle name="Heading 1" xfId="30" xr:uid="{00000000-0005-0000-0000-0000B3000000}"/>
    <cellStyle name="Heading 2" xfId="31" xr:uid="{00000000-0005-0000-0000-0000B4000000}"/>
    <cellStyle name="Heading 3" xfId="32" xr:uid="{00000000-0005-0000-0000-0000B5000000}"/>
    <cellStyle name="Heading 4" xfId="33" xr:uid="{00000000-0005-0000-0000-0000B6000000}"/>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Input" xfId="34" xr:uid="{00000000-0005-0000-0000-00004D010000}"/>
    <cellStyle name="Linked Cell" xfId="35" xr:uid="{00000000-0005-0000-0000-00004E010000}"/>
    <cellStyle name="Neutral" xfId="36" xr:uid="{00000000-0005-0000-0000-00004F010000}"/>
    <cellStyle name="Normal" xfId="0" builtinId="0"/>
    <cellStyle name="Normal 2" xfId="343" xr:uid="{5DF1E0E0-E66C-A34B-849D-BD0AE5250349}"/>
    <cellStyle name="Normal 3" xfId="346" xr:uid="{B7B1BAA6-6E06-B14D-9A1E-E3AEFAAEBEC4}"/>
    <cellStyle name="Note" xfId="37" xr:uid="{00000000-0005-0000-0000-000051010000}"/>
    <cellStyle name="Output" xfId="38" xr:uid="{00000000-0005-0000-0000-000052010000}"/>
    <cellStyle name="Percent" xfId="274" builtinId="5"/>
    <cellStyle name="Percent 2" xfId="345" xr:uid="{C23B0190-0971-D24C-9BC6-3E40C01838EE}"/>
    <cellStyle name="Percent 3" xfId="347" xr:uid="{B3E162B5-772C-8B44-B649-0F0306FF7A27}"/>
    <cellStyle name="Title" xfId="39" xr:uid="{00000000-0005-0000-0000-000054010000}"/>
    <cellStyle name="Total" xfId="40" xr:uid="{00000000-0005-0000-0000-000055010000}"/>
    <cellStyle name="Warning Text" xfId="41" xr:uid="{00000000-0005-0000-0000-000056010000}"/>
  </cellStyles>
  <dxfs count="304">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1"/>
      </font>
      <border>
        <vertical/>
        <horizontal/>
      </border>
    </dxf>
    <dxf>
      <font>
        <b/>
        <i val="0"/>
        <strike val="0"/>
        <color theme="1"/>
      </font>
      <border>
        <vertical/>
        <horizontal/>
      </border>
    </dxf>
    <dxf>
      <font>
        <b/>
        <i val="0"/>
        <strike val="0"/>
        <color theme="1"/>
      </font>
      <border>
        <vertical/>
        <horizontal/>
      </border>
    </dxf>
    <dxf>
      <font>
        <b/>
        <i val="0"/>
        <strike val="0"/>
        <color theme="1"/>
      </font>
      <border>
        <vertical/>
        <horizontal/>
      </border>
    </dxf>
    <dxf>
      <font>
        <b/>
        <i val="0"/>
        <strike val="0"/>
        <color theme="1"/>
      </font>
      <border>
        <vertical/>
        <horizontal/>
      </border>
    </dxf>
    <dxf>
      <font>
        <b/>
        <i val="0"/>
        <strike val="0"/>
        <color theme="1"/>
      </font>
      <border>
        <vertical/>
        <horizontal/>
      </border>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b/>
        <i val="0"/>
        <strike val="0"/>
        <color theme="1"/>
      </font>
      <border>
        <vertical/>
        <horizontal/>
      </border>
    </dxf>
    <dxf>
      <font>
        <b/>
        <i val="0"/>
        <strike val="0"/>
        <color theme="1"/>
      </font>
      <border>
        <vertical/>
        <horizontal/>
      </border>
    </dxf>
    <dxf>
      <font>
        <b/>
        <i val="0"/>
        <strike val="0"/>
        <color theme="1"/>
      </font>
      <border>
        <vertical/>
        <horizontal/>
      </border>
    </dxf>
    <dxf>
      <font>
        <b/>
        <i val="0"/>
        <strike val="0"/>
        <color theme="1"/>
      </font>
      <border>
        <vertical/>
        <horizontal/>
      </border>
    </dxf>
    <dxf>
      <font>
        <b/>
        <i val="0"/>
        <strike val="0"/>
        <color theme="1"/>
      </font>
      <border>
        <vertical/>
        <horizontal/>
      </border>
    </dxf>
    <dxf>
      <font>
        <color rgb="FF9C0006"/>
      </font>
      <fill>
        <patternFill>
          <bgColor rgb="FFFFC7CE"/>
        </patternFill>
      </fill>
    </dxf>
    <dxf>
      <font>
        <b/>
        <i val="0"/>
        <strike val="0"/>
        <color theme="1"/>
      </font>
      <border>
        <vertical/>
        <horizontal/>
      </border>
    </dxf>
    <dxf>
      <font>
        <b/>
        <i val="0"/>
        <strike val="0"/>
        <color theme="1"/>
      </font>
      <fill>
        <patternFill>
          <bgColor theme="5" tint="0.79998168889431442"/>
        </patternFill>
      </fill>
    </dxf>
    <dxf>
      <font>
        <b/>
        <i val="0"/>
        <strike val="0"/>
        <color theme="1"/>
      </font>
      <fill>
        <patternFill>
          <bgColor theme="7" tint="0.79998168889431442"/>
        </patternFill>
      </fill>
    </dxf>
    <dxf>
      <font>
        <b/>
        <i val="0"/>
        <strike val="0"/>
        <color theme="1"/>
      </font>
      <fill>
        <patternFill>
          <bgColor theme="4" tint="0.79998168889431442"/>
        </patternFill>
      </fill>
    </dxf>
    <dxf>
      <font>
        <b/>
        <i val="0"/>
        <strike val="0"/>
        <color theme="1"/>
      </font>
      <fill>
        <patternFill>
          <bgColor theme="9" tint="0.79998168889431442"/>
        </patternFill>
      </fill>
    </dxf>
    <dxf>
      <font>
        <b/>
        <i val="0"/>
        <strike val="0"/>
        <color theme="1"/>
      </font>
      <fill>
        <patternFill>
          <bgColor rgb="FFE2EFD9"/>
        </patternFill>
      </fill>
    </dxf>
    <dxf>
      <font>
        <b/>
        <i val="0"/>
        <strike val="0"/>
        <color theme="1"/>
      </font>
      <fill>
        <patternFill>
          <bgColor rgb="FFFFF2CC"/>
        </patternFill>
      </fill>
    </dxf>
    <dxf>
      <font>
        <b/>
        <i val="0"/>
        <strike val="0"/>
        <color theme="1"/>
      </font>
      <fill>
        <patternFill>
          <bgColor rgb="FFFFF2CC"/>
        </patternFill>
      </fill>
    </dxf>
    <dxf>
      <font>
        <b/>
        <i val="0"/>
        <strike val="0"/>
        <color theme="1"/>
      </font>
      <fill>
        <patternFill>
          <bgColor rgb="FFE2EFD9"/>
        </patternFill>
      </fill>
    </dxf>
    <dxf>
      <font>
        <b/>
        <i val="0"/>
        <strike val="0"/>
        <color theme="1"/>
      </font>
      <fill>
        <patternFill>
          <bgColor theme="5" tint="0.79998168889431442"/>
        </patternFill>
      </fill>
    </dxf>
    <dxf>
      <font>
        <b/>
        <i val="0"/>
        <strike val="0"/>
        <color theme="1"/>
      </font>
      <fill>
        <patternFill>
          <bgColor theme="7" tint="0.79998168889431442"/>
        </patternFill>
      </fill>
    </dxf>
    <dxf>
      <font>
        <b/>
        <i val="0"/>
        <strike val="0"/>
        <color theme="1"/>
      </font>
      <fill>
        <patternFill>
          <bgColor theme="4" tint="0.79998168889431442"/>
        </patternFill>
      </fill>
    </dxf>
    <dxf>
      <font>
        <b/>
        <i val="0"/>
        <strike val="0"/>
        <color theme="1"/>
      </font>
      <fill>
        <patternFill>
          <bgColor theme="9" tint="0.79998168889431442"/>
        </patternFill>
      </fill>
    </dxf>
    <dxf>
      <font>
        <strike val="0"/>
        <color theme="2" tint="-0.749961851863155"/>
      </font>
    </dxf>
    <dxf>
      <font>
        <color rgb="FF9C0006"/>
      </font>
      <fill>
        <patternFill>
          <bgColor rgb="FFFFC7CE"/>
        </patternFill>
      </fill>
    </dxf>
    <dxf>
      <font>
        <strike val="0"/>
        <color theme="5"/>
      </font>
    </dxf>
    <dxf>
      <font>
        <strike val="0"/>
        <color theme="7"/>
      </font>
    </dxf>
    <dxf>
      <font>
        <strike val="0"/>
        <color theme="3"/>
      </font>
    </dxf>
    <dxf>
      <font>
        <strike val="0"/>
        <color theme="9" tint="-0.24994659260841701"/>
      </font>
    </dxf>
    <dxf>
      <font>
        <strike val="0"/>
        <color rgb="FF538135"/>
      </font>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strike val="0"/>
        <color theme="1"/>
      </font>
      <fill>
        <patternFill>
          <bgColor theme="5" tint="0.79998168889431442"/>
        </patternFill>
      </fill>
    </dxf>
    <dxf>
      <font>
        <strike val="0"/>
        <color theme="1"/>
      </font>
      <fill>
        <patternFill>
          <bgColor theme="7" tint="0.79998168889431442"/>
        </patternFill>
      </fill>
    </dxf>
    <dxf>
      <font>
        <strike val="0"/>
        <color theme="1"/>
      </font>
      <fill>
        <patternFill>
          <bgColor theme="4" tint="0.79998168889431442"/>
        </patternFill>
      </fill>
    </dxf>
    <dxf>
      <font>
        <strike val="0"/>
        <color theme="1"/>
      </font>
      <fill>
        <patternFill>
          <bgColor theme="9" tint="0.79998168889431442"/>
        </patternFill>
      </fill>
    </dxf>
    <dxf>
      <font>
        <strike val="0"/>
        <color theme="1"/>
      </font>
      <fill>
        <patternFill>
          <bgColor rgb="FFFFF2CC"/>
        </patternFill>
      </fill>
    </dxf>
    <dxf>
      <font>
        <strike val="0"/>
        <color theme="1"/>
      </font>
      <fill>
        <patternFill>
          <bgColor rgb="FFE2EFD9"/>
        </patternFill>
      </fill>
    </dxf>
    <dxf>
      <font>
        <strike val="0"/>
        <color theme="1"/>
      </font>
      <fill>
        <patternFill>
          <bgColor rgb="FFFFF2CC"/>
        </patternFill>
      </fill>
    </dxf>
    <dxf>
      <font>
        <strike val="0"/>
        <color theme="1"/>
      </font>
      <fill>
        <patternFill>
          <bgColor theme="4" tint="0.79998168889431442"/>
        </patternFill>
      </fill>
    </dxf>
    <dxf>
      <font>
        <strike val="0"/>
        <color theme="1"/>
      </font>
      <fill>
        <patternFill>
          <bgColor theme="5" tint="0.79998168889431442"/>
        </patternFill>
      </fill>
    </dxf>
    <dxf>
      <font>
        <strike val="0"/>
        <color theme="1"/>
      </font>
      <fill>
        <patternFill>
          <bgColor theme="7" tint="0.79998168889431442"/>
        </patternFill>
      </fill>
    </dxf>
    <dxf>
      <font>
        <strike val="0"/>
        <color theme="1"/>
      </font>
      <fill>
        <patternFill>
          <bgColor rgb="FFE2EFD9"/>
        </patternFill>
      </fill>
    </dxf>
    <dxf>
      <font>
        <strike val="0"/>
        <color theme="1"/>
      </font>
      <fill>
        <patternFill>
          <bgColor theme="9" tint="0.7999816888943144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rgb="FF538135"/>
      </font>
    </dxf>
    <dxf>
      <font>
        <strike val="0"/>
        <color theme="2" tint="-0.749961851863155"/>
      </font>
    </dxf>
    <dxf>
      <font>
        <strike val="0"/>
        <color theme="9" tint="-0.24994659260841701"/>
      </font>
    </dxf>
    <dxf>
      <font>
        <strike val="0"/>
        <color theme="3"/>
      </font>
    </dxf>
    <dxf>
      <font>
        <strike val="0"/>
        <color theme="7"/>
      </font>
    </dxf>
    <dxf>
      <font>
        <strike val="0"/>
        <color theme="5"/>
      </font>
    </dxf>
    <dxf>
      <font>
        <color rgb="FF9C0006"/>
      </font>
      <fill>
        <patternFill>
          <bgColor rgb="FFFFC7CE"/>
        </patternFill>
      </fill>
    </dxf>
    <dxf>
      <font>
        <strike val="0"/>
        <color theme="5"/>
      </font>
    </dxf>
    <dxf>
      <font>
        <strike val="0"/>
        <color theme="3"/>
      </font>
    </dxf>
    <dxf>
      <font>
        <strike val="0"/>
        <color theme="9" tint="-0.24994659260841701"/>
      </font>
    </dxf>
    <dxf>
      <font>
        <strike val="0"/>
        <color theme="2" tint="-0.749961851863155"/>
      </font>
    </dxf>
    <dxf>
      <font>
        <strike val="0"/>
        <color rgb="FF538135"/>
      </font>
    </dxf>
    <dxf>
      <font>
        <strike val="0"/>
        <color theme="7"/>
      </font>
    </dxf>
    <dxf>
      <font>
        <b/>
        <i val="0"/>
        <strike val="0"/>
        <color theme="0"/>
      </font>
      <fill>
        <patternFill>
          <bgColor theme="5"/>
        </patternFill>
      </fill>
    </dxf>
    <dxf>
      <font>
        <b/>
        <i val="0"/>
        <strike val="0"/>
        <color theme="0"/>
      </font>
      <fill>
        <patternFill>
          <bgColor theme="7"/>
        </patternFill>
      </fill>
    </dxf>
    <dxf>
      <font>
        <b/>
        <i val="0"/>
        <strike val="0"/>
        <color theme="0"/>
      </font>
      <fill>
        <patternFill>
          <bgColor theme="3"/>
        </patternFill>
      </fill>
    </dxf>
    <dxf>
      <font>
        <b/>
        <i val="0"/>
        <strike val="0"/>
        <color theme="0"/>
      </font>
      <fill>
        <patternFill>
          <bgColor theme="9" tint="-0.24994659260841701"/>
        </patternFill>
      </fill>
    </dxf>
    <dxf>
      <font>
        <b/>
        <i val="0"/>
        <strike val="0"/>
        <color theme="0"/>
      </font>
      <fill>
        <patternFill>
          <bgColor rgb="FFBF9000"/>
        </patternFill>
      </fill>
    </dxf>
    <dxf>
      <font>
        <b/>
        <i val="0"/>
        <strike val="0"/>
        <color theme="0"/>
      </font>
      <fill>
        <patternFill>
          <bgColor rgb="FF538135"/>
        </patternFill>
      </fill>
    </dxf>
    <dxf>
      <font>
        <b/>
        <i val="0"/>
        <strike val="0"/>
        <color theme="1"/>
      </font>
      <fill>
        <patternFill>
          <bgColor theme="4" tint="0.79998168889431442"/>
        </patternFill>
      </fill>
    </dxf>
    <dxf>
      <font>
        <b/>
        <i val="0"/>
        <strike val="0"/>
        <color theme="1"/>
      </font>
      <fill>
        <patternFill>
          <bgColor theme="5" tint="0.79998168889431442"/>
        </patternFill>
      </fill>
    </dxf>
    <dxf>
      <font>
        <b/>
        <i val="0"/>
        <strike val="0"/>
        <color theme="1"/>
      </font>
      <fill>
        <patternFill>
          <bgColor theme="9" tint="0.79998168889431442"/>
        </patternFill>
      </fill>
    </dxf>
    <dxf>
      <font>
        <b/>
        <i val="0"/>
        <strike val="0"/>
        <color theme="1"/>
      </font>
      <fill>
        <patternFill>
          <bgColor rgb="FFFFF2CC"/>
        </patternFill>
      </fill>
    </dxf>
    <dxf>
      <font>
        <b/>
        <i val="0"/>
        <strike val="0"/>
        <color theme="1"/>
      </font>
      <fill>
        <patternFill>
          <bgColor rgb="FFE2EFD9"/>
        </patternFill>
      </fill>
    </dxf>
    <dxf>
      <font>
        <b/>
        <i val="0"/>
        <strike val="0"/>
        <color theme="1"/>
      </font>
      <fill>
        <patternFill>
          <bgColor theme="7" tint="0.79998168889431442"/>
        </patternFill>
      </fill>
    </dxf>
    <dxf>
      <font>
        <strike val="0"/>
        <color theme="5"/>
      </font>
      <fill>
        <patternFill>
          <bgColor theme="5" tint="0.79998168889431442"/>
        </patternFill>
      </fill>
    </dxf>
    <dxf>
      <font>
        <strike val="0"/>
        <color theme="7"/>
      </font>
      <fill>
        <patternFill>
          <bgColor theme="7" tint="0.79998168889431442"/>
        </patternFill>
      </fill>
    </dxf>
    <dxf>
      <font>
        <strike val="0"/>
        <color theme="3"/>
      </font>
      <fill>
        <patternFill>
          <bgColor theme="4" tint="0.79998168889431442"/>
        </patternFill>
      </fill>
    </dxf>
    <dxf>
      <font>
        <strike val="0"/>
        <color theme="9" tint="-0.24994659260841701"/>
      </font>
      <fill>
        <patternFill>
          <bgColor theme="9" tint="0.79998168889431442"/>
        </patternFill>
      </fill>
    </dxf>
    <dxf>
      <font>
        <strike val="0"/>
        <color theme="2" tint="-0.749961851863155"/>
      </font>
      <fill>
        <patternFill>
          <bgColor rgb="FFFFF2CC"/>
        </patternFill>
      </fill>
    </dxf>
    <dxf>
      <font>
        <strike val="0"/>
        <color rgb="FF365624"/>
      </font>
      <fill>
        <patternFill>
          <bgColor rgb="FFE2EFD9"/>
        </patternFill>
      </fill>
    </dxf>
    <dxf>
      <font>
        <color rgb="FF9C0006"/>
      </font>
      <fill>
        <patternFill>
          <bgColor rgb="FFFFC7CE"/>
        </patternFill>
      </fill>
    </dxf>
    <dxf>
      <font>
        <color theme="0"/>
      </font>
      <fill>
        <patternFill>
          <bgColor rgb="FF649664"/>
        </patternFill>
      </fill>
    </dxf>
    <dxf>
      <font>
        <color auto="1"/>
      </font>
      <fill>
        <patternFill>
          <bgColor rgb="FFFAFA64"/>
        </patternFill>
      </fill>
    </dxf>
    <dxf>
      <font>
        <color theme="0"/>
      </font>
      <fill>
        <patternFill>
          <bgColor rgb="FFFA9600"/>
        </patternFill>
      </fill>
    </dxf>
    <dxf>
      <font>
        <color theme="0"/>
      </font>
      <fill>
        <patternFill>
          <bgColor rgb="FF326496"/>
        </patternFill>
      </fill>
    </dxf>
    <dxf>
      <font>
        <color theme="0"/>
      </font>
      <fill>
        <patternFill>
          <bgColor rgb="FF9696C8"/>
        </patternFill>
      </fill>
    </dxf>
    <dxf>
      <font>
        <color theme="0"/>
      </font>
      <fill>
        <patternFill>
          <bgColor rgb="FFC8323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1"/>
      </font>
      <border>
        <vertical/>
        <horizontal/>
      </border>
    </dxf>
    <dxf>
      <font>
        <b/>
        <i val="0"/>
        <strike val="0"/>
        <color theme="1"/>
      </font>
      <border>
        <vertical/>
        <horizontal/>
      </border>
    </dxf>
    <dxf>
      <font>
        <b/>
        <i val="0"/>
        <strike val="0"/>
        <color theme="1"/>
      </font>
      <border>
        <vertical/>
        <horizontal/>
      </border>
    </dxf>
    <dxf>
      <font>
        <b/>
        <i val="0"/>
        <strike val="0"/>
        <color theme="1"/>
      </font>
      <border>
        <vertical/>
        <horizontal/>
      </border>
    </dxf>
    <dxf>
      <font>
        <b/>
        <i val="0"/>
        <strike val="0"/>
        <color theme="1"/>
      </font>
      <border>
        <vertical/>
        <horizontal/>
      </border>
    </dxf>
    <dxf>
      <font>
        <b/>
        <i val="0"/>
        <strike val="0"/>
        <color theme="1"/>
      </font>
      <border>
        <vertical/>
        <horizontal/>
      </border>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b/>
        <i val="0"/>
        <strike val="0"/>
        <color theme="1"/>
      </font>
      <border>
        <vertical/>
        <horizontal/>
      </border>
    </dxf>
    <dxf>
      <font>
        <b/>
        <i val="0"/>
        <strike val="0"/>
        <color theme="1"/>
      </font>
      <border>
        <vertical/>
        <horizontal/>
      </border>
    </dxf>
    <dxf>
      <font>
        <b/>
        <i val="0"/>
        <strike val="0"/>
        <color theme="1"/>
      </font>
      <border>
        <vertical/>
        <horizontal/>
      </border>
    </dxf>
    <dxf>
      <font>
        <b/>
        <i val="0"/>
        <strike val="0"/>
        <color theme="1"/>
      </font>
      <border>
        <vertical/>
        <horizontal/>
      </border>
    </dxf>
    <dxf>
      <font>
        <b/>
        <i val="0"/>
        <strike val="0"/>
        <color theme="1"/>
      </font>
      <border>
        <vertical/>
        <horizontal/>
      </border>
    </dxf>
    <dxf>
      <font>
        <color rgb="FF9C5700"/>
      </font>
      <fill>
        <patternFill>
          <bgColor rgb="FFFFEB9C"/>
        </patternFill>
      </fill>
    </dxf>
    <dxf>
      <font>
        <b/>
        <i val="0"/>
        <strike val="0"/>
        <color theme="1"/>
      </font>
      <border>
        <vertical/>
        <horizontal/>
      </border>
    </dxf>
    <dxf>
      <font>
        <b/>
        <i val="0"/>
        <strike val="0"/>
        <color theme="1"/>
      </font>
      <fill>
        <patternFill>
          <bgColor theme="5" tint="0.79998168889431442"/>
        </patternFill>
      </fill>
    </dxf>
    <dxf>
      <font>
        <b/>
        <i val="0"/>
        <strike val="0"/>
        <color theme="1"/>
      </font>
      <fill>
        <patternFill>
          <bgColor theme="7" tint="0.79998168889431442"/>
        </patternFill>
      </fill>
    </dxf>
    <dxf>
      <font>
        <b/>
        <i val="0"/>
        <strike val="0"/>
        <color theme="1"/>
      </font>
      <fill>
        <patternFill>
          <bgColor theme="4" tint="0.79998168889431442"/>
        </patternFill>
      </fill>
    </dxf>
    <dxf>
      <font>
        <b/>
        <i val="0"/>
        <strike val="0"/>
        <color theme="1"/>
      </font>
      <fill>
        <patternFill>
          <bgColor theme="9" tint="0.79998168889431442"/>
        </patternFill>
      </fill>
    </dxf>
    <dxf>
      <font>
        <b/>
        <i val="0"/>
        <strike val="0"/>
        <color theme="1"/>
      </font>
      <fill>
        <patternFill>
          <bgColor rgb="FFFFF2CC"/>
        </patternFill>
      </fill>
    </dxf>
    <dxf>
      <font>
        <b/>
        <i val="0"/>
        <strike val="0"/>
        <color theme="1"/>
      </font>
      <fill>
        <patternFill>
          <bgColor rgb="FFE2EFD9"/>
        </patternFill>
      </fill>
    </dxf>
    <dxf>
      <font>
        <b/>
        <i val="0"/>
        <strike val="0"/>
        <color theme="1"/>
      </font>
      <fill>
        <patternFill>
          <bgColor theme="7" tint="0.79998168889431442"/>
        </patternFill>
      </fill>
    </dxf>
    <dxf>
      <font>
        <b/>
        <i val="0"/>
        <strike val="0"/>
        <color theme="1"/>
      </font>
      <fill>
        <patternFill>
          <bgColor rgb="FFE2EFD9"/>
        </patternFill>
      </fill>
    </dxf>
    <dxf>
      <font>
        <b/>
        <i val="0"/>
        <strike val="0"/>
        <color theme="1"/>
      </font>
      <fill>
        <patternFill>
          <bgColor rgb="FFFFF2CC"/>
        </patternFill>
      </fill>
    </dxf>
    <dxf>
      <font>
        <b/>
        <i val="0"/>
        <strike val="0"/>
        <color theme="1"/>
      </font>
      <fill>
        <patternFill>
          <bgColor theme="5" tint="0.79998168889431442"/>
        </patternFill>
      </fill>
    </dxf>
    <dxf>
      <font>
        <b/>
        <i val="0"/>
        <strike val="0"/>
        <color theme="1"/>
      </font>
      <fill>
        <patternFill>
          <bgColor theme="9" tint="0.79998168889431442"/>
        </patternFill>
      </fill>
    </dxf>
    <dxf>
      <font>
        <b/>
        <i val="0"/>
        <strike val="0"/>
        <color theme="1"/>
      </font>
      <fill>
        <patternFill>
          <bgColor theme="4" tint="0.79998168889431442"/>
        </patternFill>
      </fill>
    </dxf>
    <dxf>
      <font>
        <strike val="0"/>
        <color theme="2" tint="-0.749961851863155"/>
      </font>
    </dxf>
    <dxf>
      <font>
        <strike val="0"/>
        <color theme="9" tint="-0.24994659260841701"/>
      </font>
    </dxf>
    <dxf>
      <font>
        <strike val="0"/>
        <color theme="3"/>
      </font>
    </dxf>
    <dxf>
      <font>
        <strike val="0"/>
        <color theme="7"/>
      </font>
    </dxf>
    <dxf>
      <font>
        <strike val="0"/>
        <color theme="5"/>
      </font>
    </dxf>
    <dxf>
      <font>
        <color rgb="FF9C0006"/>
      </font>
      <fill>
        <patternFill>
          <bgColor rgb="FFFFC7CE"/>
        </patternFill>
      </fill>
    </dxf>
    <dxf>
      <font>
        <strike val="0"/>
        <color rgb="FF538135"/>
      </font>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strike val="0"/>
        <color theme="1"/>
      </font>
      <fill>
        <patternFill>
          <bgColor theme="5" tint="0.79998168889431442"/>
        </patternFill>
      </fill>
    </dxf>
    <dxf>
      <font>
        <strike val="0"/>
        <color theme="1"/>
      </font>
      <fill>
        <patternFill>
          <bgColor theme="7" tint="0.79998168889431442"/>
        </patternFill>
      </fill>
    </dxf>
    <dxf>
      <font>
        <strike val="0"/>
        <color theme="1"/>
      </font>
      <fill>
        <patternFill>
          <bgColor theme="4" tint="0.79998168889431442"/>
        </patternFill>
      </fill>
    </dxf>
    <dxf>
      <font>
        <strike val="0"/>
        <color theme="1"/>
      </font>
      <fill>
        <patternFill>
          <bgColor theme="9" tint="0.79998168889431442"/>
        </patternFill>
      </fill>
    </dxf>
    <dxf>
      <font>
        <strike val="0"/>
        <color theme="1"/>
      </font>
      <fill>
        <patternFill>
          <bgColor rgb="FFFFF2CC"/>
        </patternFill>
      </fill>
    </dxf>
    <dxf>
      <font>
        <strike val="0"/>
        <color theme="1"/>
      </font>
      <fill>
        <patternFill>
          <bgColor rgb="FFE2EFD9"/>
        </patternFill>
      </fill>
    </dxf>
    <dxf>
      <font>
        <strike val="0"/>
        <color theme="1"/>
      </font>
      <fill>
        <patternFill>
          <bgColor rgb="FFFFF2CC"/>
        </patternFill>
      </fill>
    </dxf>
    <dxf>
      <font>
        <strike val="0"/>
        <color theme="1"/>
      </font>
      <fill>
        <patternFill>
          <bgColor rgb="FFE2EFD9"/>
        </patternFill>
      </fill>
    </dxf>
    <dxf>
      <font>
        <strike val="0"/>
        <color theme="1"/>
      </font>
      <fill>
        <patternFill>
          <bgColor theme="5" tint="0.79998168889431442"/>
        </patternFill>
      </fill>
    </dxf>
    <dxf>
      <font>
        <strike val="0"/>
        <color theme="1"/>
      </font>
      <fill>
        <patternFill>
          <bgColor theme="7" tint="0.79998168889431442"/>
        </patternFill>
      </fill>
    </dxf>
    <dxf>
      <font>
        <strike val="0"/>
        <color theme="1"/>
      </font>
      <fill>
        <patternFill>
          <bgColor theme="4" tint="0.79998168889431442"/>
        </patternFill>
      </fill>
    </dxf>
    <dxf>
      <font>
        <strike val="0"/>
        <color theme="1"/>
      </font>
      <fill>
        <patternFill>
          <bgColor theme="9" tint="0.7999816888943144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rgb="FF538135"/>
      </font>
    </dxf>
    <dxf>
      <font>
        <strike val="0"/>
        <color theme="2" tint="-0.749961851863155"/>
      </font>
    </dxf>
    <dxf>
      <font>
        <strike val="0"/>
        <color theme="9" tint="-0.24994659260841701"/>
      </font>
    </dxf>
    <dxf>
      <font>
        <strike val="0"/>
        <color theme="3"/>
      </font>
    </dxf>
    <dxf>
      <font>
        <strike val="0"/>
        <color theme="7"/>
      </font>
    </dxf>
    <dxf>
      <font>
        <strike val="0"/>
        <color theme="5"/>
      </font>
    </dxf>
    <dxf>
      <font>
        <color rgb="FF9C0006"/>
      </font>
      <fill>
        <patternFill>
          <bgColor rgb="FFFFC7CE"/>
        </patternFill>
      </fill>
    </dxf>
    <dxf>
      <font>
        <strike val="0"/>
        <color theme="5"/>
      </font>
    </dxf>
    <dxf>
      <font>
        <strike val="0"/>
        <color rgb="FF538135"/>
      </font>
    </dxf>
    <dxf>
      <font>
        <strike val="0"/>
        <color theme="2" tint="-0.749961851863155"/>
      </font>
    </dxf>
    <dxf>
      <font>
        <strike val="0"/>
        <color theme="9" tint="-0.24994659260841701"/>
      </font>
    </dxf>
    <dxf>
      <font>
        <strike val="0"/>
        <color theme="3"/>
      </font>
    </dxf>
    <dxf>
      <font>
        <strike val="0"/>
        <color theme="7"/>
      </font>
    </dxf>
    <dxf>
      <font>
        <b/>
        <i val="0"/>
        <strike val="0"/>
        <color theme="0"/>
      </font>
      <fill>
        <patternFill>
          <bgColor rgb="FF538135"/>
        </patternFill>
      </fill>
    </dxf>
    <dxf>
      <font>
        <b/>
        <i val="0"/>
        <strike val="0"/>
        <color theme="0"/>
      </font>
      <fill>
        <patternFill>
          <bgColor rgb="FFBF9000"/>
        </patternFill>
      </fill>
    </dxf>
    <dxf>
      <font>
        <b/>
        <i val="0"/>
        <strike val="0"/>
        <color theme="0"/>
      </font>
      <fill>
        <patternFill>
          <bgColor theme="9" tint="-0.24994659260841701"/>
        </patternFill>
      </fill>
    </dxf>
    <dxf>
      <font>
        <b/>
        <i val="0"/>
        <strike val="0"/>
        <color theme="0"/>
      </font>
      <fill>
        <patternFill>
          <bgColor theme="3"/>
        </patternFill>
      </fill>
    </dxf>
    <dxf>
      <font>
        <b/>
        <i val="0"/>
        <strike val="0"/>
        <color theme="0"/>
      </font>
      <fill>
        <patternFill>
          <bgColor theme="5"/>
        </patternFill>
      </fill>
    </dxf>
    <dxf>
      <font>
        <b/>
        <i val="0"/>
        <strike val="0"/>
        <color theme="0"/>
      </font>
      <fill>
        <patternFill>
          <bgColor theme="7"/>
        </patternFill>
      </fill>
    </dxf>
    <dxf>
      <font>
        <b/>
        <i val="0"/>
        <strike val="0"/>
        <color theme="1"/>
      </font>
      <fill>
        <patternFill>
          <bgColor theme="7" tint="0.79998168889431442"/>
        </patternFill>
      </fill>
    </dxf>
    <dxf>
      <font>
        <b/>
        <i val="0"/>
        <strike val="0"/>
        <color theme="1"/>
      </font>
      <fill>
        <patternFill>
          <bgColor theme="4" tint="0.79998168889431442"/>
        </patternFill>
      </fill>
    </dxf>
    <dxf>
      <font>
        <b/>
        <i val="0"/>
        <strike val="0"/>
        <color theme="1"/>
      </font>
      <fill>
        <patternFill>
          <bgColor theme="9" tint="0.79998168889431442"/>
        </patternFill>
      </fill>
    </dxf>
    <dxf>
      <font>
        <b/>
        <i val="0"/>
        <strike val="0"/>
        <color theme="1"/>
      </font>
      <fill>
        <patternFill>
          <bgColor rgb="FFFFF2CC"/>
        </patternFill>
      </fill>
    </dxf>
    <dxf>
      <font>
        <b/>
        <i val="0"/>
        <strike val="0"/>
        <color theme="1"/>
      </font>
      <fill>
        <patternFill>
          <bgColor rgb="FFE2EFD9"/>
        </patternFill>
      </fill>
    </dxf>
    <dxf>
      <font>
        <b/>
        <i val="0"/>
        <strike val="0"/>
        <color theme="1"/>
      </font>
      <fill>
        <patternFill>
          <bgColor theme="5" tint="0.79998168889431442"/>
        </patternFill>
      </fill>
    </dxf>
    <dxf>
      <font>
        <strike val="0"/>
        <color rgb="FF365624"/>
      </font>
      <fill>
        <patternFill>
          <bgColor rgb="FFE2EFD9"/>
        </patternFill>
      </fill>
    </dxf>
    <dxf>
      <font>
        <strike val="0"/>
        <color theme="2" tint="-0.749961851863155"/>
      </font>
      <fill>
        <patternFill>
          <bgColor rgb="FFFFF2CC"/>
        </patternFill>
      </fill>
    </dxf>
    <dxf>
      <font>
        <strike val="0"/>
        <color theme="9" tint="-0.24994659260841701"/>
      </font>
      <fill>
        <patternFill>
          <bgColor theme="9" tint="0.79998168889431442"/>
        </patternFill>
      </fill>
    </dxf>
    <dxf>
      <font>
        <strike val="0"/>
        <color theme="5"/>
      </font>
      <fill>
        <patternFill>
          <bgColor theme="5" tint="0.79998168889431442"/>
        </patternFill>
      </fill>
    </dxf>
    <dxf>
      <font>
        <strike val="0"/>
        <color theme="3"/>
      </font>
      <fill>
        <patternFill>
          <bgColor theme="4" tint="0.79998168889431442"/>
        </patternFill>
      </fill>
    </dxf>
    <dxf>
      <font>
        <strike val="0"/>
        <color theme="7"/>
      </font>
      <fill>
        <patternFill>
          <bgColor theme="7" tint="0.79998168889431442"/>
        </patternFill>
      </fill>
    </dxf>
    <dxf>
      <font>
        <strike val="0"/>
        <color rgb="FF538135"/>
      </font>
    </dxf>
    <dxf>
      <font>
        <strike val="0"/>
        <color theme="2" tint="-0.749961851863155"/>
      </font>
    </dxf>
    <dxf>
      <font>
        <strike val="0"/>
        <color theme="9" tint="-0.24994659260841701"/>
      </font>
    </dxf>
    <dxf>
      <font>
        <strike val="0"/>
        <color theme="3"/>
      </font>
    </dxf>
    <dxf>
      <font>
        <strike val="0"/>
        <color theme="7"/>
      </font>
    </dxf>
    <dxf>
      <font>
        <strike val="0"/>
        <color theme="5"/>
      </font>
    </dxf>
    <dxf>
      <font>
        <strike val="0"/>
        <color rgb="FF538135"/>
      </font>
    </dxf>
    <dxf>
      <font>
        <strike val="0"/>
        <color theme="2" tint="-0.749961851863155"/>
      </font>
    </dxf>
    <dxf>
      <font>
        <strike val="0"/>
        <color theme="9" tint="-0.24994659260841701"/>
      </font>
    </dxf>
    <dxf>
      <font>
        <strike val="0"/>
        <color theme="3"/>
      </font>
    </dxf>
    <dxf>
      <font>
        <strike val="0"/>
        <color theme="7"/>
      </font>
    </dxf>
    <dxf>
      <font>
        <strike val="0"/>
        <color theme="5"/>
      </font>
    </dxf>
    <dxf>
      <font>
        <strike val="0"/>
        <color rgb="FF538135"/>
      </font>
    </dxf>
    <dxf>
      <font>
        <strike val="0"/>
        <color theme="2" tint="-0.749961851863155"/>
      </font>
    </dxf>
    <dxf>
      <font>
        <strike val="0"/>
        <color theme="9" tint="-0.24994659260841701"/>
      </font>
    </dxf>
    <dxf>
      <font>
        <strike val="0"/>
        <color theme="3"/>
      </font>
    </dxf>
    <dxf>
      <font>
        <strike val="0"/>
        <color theme="7"/>
      </font>
    </dxf>
    <dxf>
      <font>
        <strike val="0"/>
        <color theme="5"/>
      </font>
    </dxf>
    <dxf>
      <font>
        <b/>
        <i val="0"/>
        <strike val="0"/>
        <color theme="5"/>
      </font>
    </dxf>
    <dxf>
      <font>
        <b/>
        <i val="0"/>
        <strike val="0"/>
        <color theme="7"/>
      </font>
    </dxf>
    <dxf>
      <font>
        <b/>
        <i val="0"/>
        <strike val="0"/>
        <color theme="3"/>
      </font>
    </dxf>
    <dxf>
      <font>
        <b/>
        <i val="0"/>
        <strike val="0"/>
        <color theme="9" tint="-0.24994659260841701"/>
      </font>
    </dxf>
    <dxf>
      <font>
        <b/>
        <i val="0"/>
        <strike val="0"/>
        <color rgb="FF7F6000"/>
      </font>
    </dxf>
    <dxf>
      <font>
        <b/>
        <i val="0"/>
        <strike val="0"/>
        <color rgb="FF538134"/>
      </font>
    </dxf>
    <dxf>
      <font>
        <strike val="0"/>
        <color theme="5"/>
      </font>
    </dxf>
    <dxf>
      <font>
        <strike val="0"/>
        <color theme="7"/>
      </font>
    </dxf>
    <dxf>
      <font>
        <strike val="0"/>
        <color theme="3"/>
      </font>
    </dxf>
    <dxf>
      <font>
        <strike val="0"/>
        <color theme="9" tint="-0.24994659260841701"/>
      </font>
    </dxf>
    <dxf>
      <font>
        <strike val="0"/>
        <color rgb="FF7F6000"/>
      </font>
    </dxf>
    <dxf>
      <font>
        <strike val="0"/>
        <color rgb="FF538134"/>
      </font>
    </dxf>
    <dxf>
      <font>
        <b/>
        <i val="0"/>
        <strike val="0"/>
        <color theme="0"/>
      </font>
      <fill>
        <patternFill>
          <bgColor rgb="FFBE9000"/>
        </patternFill>
      </fill>
    </dxf>
    <dxf>
      <font>
        <b/>
        <i val="0"/>
        <strike val="0"/>
        <color theme="0"/>
      </font>
      <fill>
        <patternFill>
          <bgColor theme="9" tint="-0.24994659260841701"/>
        </patternFill>
      </fill>
    </dxf>
    <dxf>
      <font>
        <b/>
        <i val="0"/>
        <strike val="0"/>
        <color theme="0"/>
      </font>
      <fill>
        <patternFill>
          <bgColor theme="3"/>
        </patternFill>
      </fill>
    </dxf>
    <dxf>
      <font>
        <b/>
        <i val="0"/>
        <strike val="0"/>
        <color theme="0"/>
      </font>
      <fill>
        <patternFill>
          <bgColor theme="7"/>
        </patternFill>
      </fill>
    </dxf>
    <dxf>
      <font>
        <b/>
        <i val="0"/>
        <strike val="0"/>
        <color theme="0"/>
      </font>
      <fill>
        <patternFill>
          <bgColor theme="5"/>
        </patternFill>
      </fill>
    </dxf>
    <dxf>
      <font>
        <b/>
        <i val="0"/>
        <strike val="0"/>
        <color theme="0"/>
      </font>
      <fill>
        <patternFill>
          <bgColor rgb="FF538135"/>
        </patternFill>
      </fill>
    </dxf>
    <dxf>
      <font>
        <b/>
        <i val="0"/>
        <strike val="0"/>
        <color theme="5"/>
      </font>
      <fill>
        <patternFill>
          <bgColor theme="5" tint="0.79998168889431442"/>
        </patternFill>
      </fill>
    </dxf>
    <dxf>
      <font>
        <b/>
        <i val="0"/>
        <strike val="0"/>
        <color theme="7"/>
      </font>
      <fill>
        <patternFill>
          <bgColor theme="7" tint="0.79998168889431442"/>
        </patternFill>
      </fill>
    </dxf>
    <dxf>
      <font>
        <b/>
        <i val="0"/>
        <strike val="0"/>
        <color theme="3"/>
      </font>
      <fill>
        <patternFill>
          <bgColor theme="4" tint="0.79998168889431442"/>
        </patternFill>
      </fill>
    </dxf>
    <dxf>
      <font>
        <b/>
        <i val="0"/>
        <strike val="0"/>
        <color theme="9" tint="-0.24994659260841701"/>
      </font>
      <fill>
        <patternFill>
          <bgColor theme="9" tint="0.79998168889431442"/>
        </patternFill>
      </fill>
    </dxf>
    <dxf>
      <font>
        <b/>
        <i val="0"/>
        <strike val="0"/>
        <color rgb="FF7F6000"/>
      </font>
      <fill>
        <patternFill>
          <bgColor rgb="FFFFF3CC"/>
        </patternFill>
      </fill>
    </dxf>
    <dxf>
      <font>
        <b/>
        <i val="0"/>
        <strike val="0"/>
        <color rgb="FF538134"/>
      </font>
      <fill>
        <patternFill>
          <bgColor rgb="FFE2EFDA"/>
        </patternFill>
      </fill>
    </dxf>
    <dxf>
      <font>
        <b/>
        <i val="0"/>
        <strike val="0"/>
        <color theme="0"/>
      </font>
      <fill>
        <patternFill>
          <bgColor theme="7"/>
        </patternFill>
      </fill>
    </dxf>
    <dxf>
      <font>
        <b/>
        <i val="0"/>
        <strike val="0"/>
        <color theme="0"/>
      </font>
      <fill>
        <patternFill>
          <bgColor theme="3"/>
        </patternFill>
      </fill>
    </dxf>
    <dxf>
      <font>
        <b/>
        <i val="0"/>
        <strike val="0"/>
        <color theme="0"/>
      </font>
      <fill>
        <patternFill>
          <bgColor theme="9" tint="-0.24994659260841701"/>
        </patternFill>
      </fill>
    </dxf>
    <dxf>
      <font>
        <b/>
        <i val="0"/>
        <strike val="0"/>
        <color theme="0"/>
      </font>
      <fill>
        <patternFill>
          <bgColor rgb="FFBE9000"/>
        </patternFill>
      </fill>
    </dxf>
    <dxf>
      <font>
        <b/>
        <i val="0"/>
        <strike val="0"/>
        <color theme="0"/>
      </font>
      <fill>
        <patternFill>
          <bgColor rgb="FF538134"/>
        </patternFill>
      </fill>
    </dxf>
    <dxf>
      <font>
        <b/>
        <i val="0"/>
        <strike val="0"/>
        <color theme="0"/>
      </font>
      <fill>
        <patternFill>
          <bgColor theme="5"/>
        </patternFill>
      </fill>
    </dxf>
    <dxf>
      <font>
        <b val="0"/>
        <i val="0"/>
        <strike val="0"/>
        <condense val="0"/>
        <extend val="0"/>
        <outline val="0"/>
        <shadow val="0"/>
        <u val="none"/>
        <vertAlign val="baseline"/>
        <sz val="10"/>
        <color auto="1"/>
        <name val="Aptos Narrow"/>
        <scheme val="none"/>
      </font>
      <numFmt numFmtId="179" formatCode="0.000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0"/>
        <color auto="1"/>
        <name val="Aptos Narrow"/>
        <scheme val="none"/>
      </font>
      <numFmt numFmtId="179" formatCode="0.000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0"/>
        <color auto="1"/>
        <name val="Aptos Narrow"/>
        <scheme val="none"/>
      </font>
      <numFmt numFmtId="179" formatCode="0.000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0"/>
        <color auto="1"/>
        <name val="Aptos Narrow"/>
        <scheme val="none"/>
      </font>
      <numFmt numFmtId="179" formatCode="0.000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0"/>
        <color auto="1"/>
        <name val="Aptos Narrow"/>
        <scheme val="none"/>
      </font>
      <numFmt numFmtId="179" formatCode="0.000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0"/>
        <color auto="1"/>
        <name val="Aptos Narrow"/>
        <scheme val="none"/>
      </font>
      <numFmt numFmtId="179" formatCode="0.000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0"/>
        <color auto="1"/>
        <name val="Aptos Narrow"/>
        <scheme val="none"/>
      </font>
      <numFmt numFmtId="179" formatCode="0.000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0"/>
        <color auto="1"/>
        <name val="Aptos Narrow"/>
        <scheme val="none"/>
      </font>
      <numFmt numFmtId="170" formatCode="&quot;$&quot;#,##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0"/>
        <color auto="1"/>
        <name val="Aptos Narrow"/>
        <scheme val="none"/>
      </font>
      <numFmt numFmtId="170" formatCode="&quot;$&quot;#,##0"/>
      <border diagonalUp="0" diagonalDown="0">
        <left/>
        <right style="thin">
          <color auto="1"/>
        </right>
        <top style="hair">
          <color auto="1"/>
        </top>
        <bottom style="hair">
          <color auto="1"/>
        </bottom>
        <vertical/>
        <horizontal/>
      </border>
    </dxf>
    <dxf>
      <border outline="0">
        <left style="thin">
          <color auto="1"/>
        </left>
        <right style="thin">
          <color auto="1"/>
        </right>
        <top style="thin">
          <color indexed="64"/>
        </top>
        <bottom style="thin">
          <color auto="1"/>
        </bottom>
      </border>
    </dxf>
    <dxf>
      <font>
        <b val="0"/>
        <i val="0"/>
        <strike val="0"/>
        <condense val="0"/>
        <extend val="0"/>
        <outline val="0"/>
        <shadow val="0"/>
        <u val="none"/>
        <vertAlign val="baseline"/>
        <sz val="10"/>
        <color auto="1"/>
        <name val="Aptos Narrow"/>
        <scheme val="none"/>
      </font>
    </dxf>
    <dxf>
      <border outline="0">
        <bottom style="thin">
          <color indexed="64"/>
        </bottom>
      </border>
    </dxf>
    <dxf>
      <font>
        <b/>
        <i val="0"/>
        <strike val="0"/>
        <condense val="0"/>
        <extend val="0"/>
        <outline val="0"/>
        <shadow val="0"/>
        <u val="none"/>
        <vertAlign val="baseline"/>
        <sz val="10"/>
        <color auto="1"/>
        <name val="Aptos Narrow"/>
        <scheme val="none"/>
      </font>
      <fill>
        <patternFill patternType="solid">
          <fgColor indexed="64"/>
          <bgColor theme="6" tint="0.79998168889431442"/>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6600"/>
      <rgbColor rgb="00000080"/>
      <rgbColor rgb="00996633"/>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FF9999"/>
      <rgbColor rgb="00CC99FF"/>
      <rgbColor rgb="00EAEAEA"/>
      <rgbColor rgb="003366FF"/>
      <rgbColor rgb="0033CCCC"/>
      <rgbColor rgb="00CC9900"/>
      <rgbColor rgb="00DDDDDD"/>
      <rgbColor rgb="00C0C0C0"/>
      <rgbColor rgb="00B2B2B2"/>
      <rgbColor rgb="00666699"/>
      <rgbColor rgb="00969696"/>
      <rgbColor rgb="003333CC"/>
      <rgbColor rgb="00339933"/>
      <rgbColor rgb="00003300"/>
      <rgbColor rgb="00663300"/>
      <rgbColor rgb="00969696"/>
      <rgbColor rgb="00993366"/>
      <rgbColor rgb="00333399"/>
      <rgbColor rgb="00424242"/>
    </indexedColors>
    <mruColors>
      <color rgb="FF645C9C"/>
      <color rgb="FF444444"/>
      <color rgb="FFE2283D"/>
      <color rgb="FF003764"/>
      <color rgb="FF005776"/>
      <color rgb="FF990033"/>
      <color rgb="FFF5BE14"/>
      <color rgb="FF016A56"/>
      <color rgb="FF59833A"/>
      <color rgb="FF005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393700</xdr:colOff>
      <xdr:row>2</xdr:row>
      <xdr:rowOff>139699</xdr:rowOff>
    </xdr:from>
    <xdr:to>
      <xdr:col>4</xdr:col>
      <xdr:colOff>1181100</xdr:colOff>
      <xdr:row>8</xdr:row>
      <xdr:rowOff>47601</xdr:rowOff>
    </xdr:to>
    <xdr:pic>
      <xdr:nvPicPr>
        <xdr:cNvPr id="3" name="Picture 2">
          <a:extLst>
            <a:ext uri="{FF2B5EF4-FFF2-40B4-BE49-F238E27FC236}">
              <a16:creationId xmlns:a16="http://schemas.microsoft.com/office/drawing/2014/main" id="{6D5B9620-B9F8-B944-840E-78FC3034D295}"/>
            </a:ext>
          </a:extLst>
        </xdr:cNvPr>
        <xdr:cNvPicPr>
          <a:picLocks noChangeAspect="1"/>
        </xdr:cNvPicPr>
      </xdr:nvPicPr>
      <xdr:blipFill>
        <a:blip xmlns:r="http://schemas.openxmlformats.org/officeDocument/2006/relationships" r:embed="rId1"/>
        <a:stretch>
          <a:fillRect/>
        </a:stretch>
      </xdr:blipFill>
      <xdr:spPr>
        <a:xfrm>
          <a:off x="2514600" y="457199"/>
          <a:ext cx="2286000" cy="8223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128775</xdr:colOff>
      <xdr:row>3</xdr:row>
      <xdr:rowOff>65506</xdr:rowOff>
    </xdr:from>
    <xdr:to>
      <xdr:col>5</xdr:col>
      <xdr:colOff>43431</xdr:colOff>
      <xdr:row>9</xdr:row>
      <xdr:rowOff>20918</xdr:rowOff>
    </xdr:to>
    <xdr:pic>
      <xdr:nvPicPr>
        <xdr:cNvPr id="5" name="Picture 4">
          <a:extLst>
            <a:ext uri="{FF2B5EF4-FFF2-40B4-BE49-F238E27FC236}">
              <a16:creationId xmlns:a16="http://schemas.microsoft.com/office/drawing/2014/main" id="{C40889D4-4EF2-734F-B865-C980BBA187FE}"/>
            </a:ext>
          </a:extLst>
        </xdr:cNvPr>
        <xdr:cNvPicPr>
          <a:picLocks noChangeAspect="1"/>
        </xdr:cNvPicPr>
      </xdr:nvPicPr>
      <xdr:blipFill>
        <a:blip xmlns:r="http://schemas.openxmlformats.org/officeDocument/2006/relationships" r:embed="rId1">
          <a:alphaModFix/>
        </a:blip>
        <a:stretch>
          <a:fillRect/>
        </a:stretch>
      </xdr:blipFill>
      <xdr:spPr>
        <a:xfrm>
          <a:off x="2541775" y="459874"/>
          <a:ext cx="2274182" cy="8243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393700</xdr:colOff>
      <xdr:row>2</xdr:row>
      <xdr:rowOff>139699</xdr:rowOff>
    </xdr:from>
    <xdr:to>
      <xdr:col>4</xdr:col>
      <xdr:colOff>1181100</xdr:colOff>
      <xdr:row>8</xdr:row>
      <xdr:rowOff>47601</xdr:rowOff>
    </xdr:to>
    <xdr:pic>
      <xdr:nvPicPr>
        <xdr:cNvPr id="3" name="Picture 2">
          <a:extLst>
            <a:ext uri="{FF2B5EF4-FFF2-40B4-BE49-F238E27FC236}">
              <a16:creationId xmlns:a16="http://schemas.microsoft.com/office/drawing/2014/main" id="{9BF1F25D-09CC-7449-AE99-16DB3F88DF68}"/>
            </a:ext>
          </a:extLst>
        </xdr:cNvPr>
        <xdr:cNvPicPr>
          <a:picLocks noChangeAspect="1"/>
        </xdr:cNvPicPr>
      </xdr:nvPicPr>
      <xdr:blipFill>
        <a:blip xmlns:r="http://schemas.openxmlformats.org/officeDocument/2006/relationships" r:embed="rId1"/>
        <a:stretch>
          <a:fillRect/>
        </a:stretch>
      </xdr:blipFill>
      <xdr:spPr>
        <a:xfrm>
          <a:off x="2514600" y="457199"/>
          <a:ext cx="2286000" cy="8223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101600</xdr:colOff>
      <xdr:row>3</xdr:row>
      <xdr:rowOff>56815</xdr:rowOff>
    </xdr:from>
    <xdr:to>
      <xdr:col>5</xdr:col>
      <xdr:colOff>16933</xdr:colOff>
      <xdr:row>9</xdr:row>
      <xdr:rowOff>37882</xdr:rowOff>
    </xdr:to>
    <xdr:pic>
      <xdr:nvPicPr>
        <xdr:cNvPr id="2" name="Picture 1">
          <a:extLst>
            <a:ext uri="{FF2B5EF4-FFF2-40B4-BE49-F238E27FC236}">
              <a16:creationId xmlns:a16="http://schemas.microsoft.com/office/drawing/2014/main" id="{A0998031-3B6B-1E47-B582-756BF99702E9}"/>
            </a:ext>
          </a:extLst>
        </xdr:cNvPr>
        <xdr:cNvPicPr>
          <a:picLocks noChangeAspect="1"/>
        </xdr:cNvPicPr>
      </xdr:nvPicPr>
      <xdr:blipFill>
        <a:blip xmlns:r="http://schemas.openxmlformats.org/officeDocument/2006/relationships" r:embed="rId1"/>
        <a:stretch>
          <a:fillRect/>
        </a:stretch>
      </xdr:blipFill>
      <xdr:spPr>
        <a:xfrm>
          <a:off x="2514600" y="451183"/>
          <a:ext cx="2274859" cy="8232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3657600</xdr:colOff>
      <xdr:row>31</xdr:row>
      <xdr:rowOff>660397</xdr:rowOff>
    </xdr:from>
    <xdr:to>
      <xdr:col>2</xdr:col>
      <xdr:colOff>0</xdr:colOff>
      <xdr:row>32</xdr:row>
      <xdr:rowOff>2429932</xdr:rowOff>
    </xdr:to>
    <xdr:sp macro="" textlink="">
      <xdr:nvSpPr>
        <xdr:cNvPr id="2" name="TextBox 1">
          <a:extLst>
            <a:ext uri="{FF2B5EF4-FFF2-40B4-BE49-F238E27FC236}">
              <a16:creationId xmlns:a16="http://schemas.microsoft.com/office/drawing/2014/main" id="{4E645EAA-F185-EEDD-2E90-3AF2B307B9A8}"/>
            </a:ext>
          </a:extLst>
        </xdr:cNvPr>
        <xdr:cNvSpPr txBox="1"/>
      </xdr:nvSpPr>
      <xdr:spPr>
        <a:xfrm>
          <a:off x="3979333" y="11413064"/>
          <a:ext cx="2743200" cy="4250268"/>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50">
              <a:latin typeface="Aptos" panose="020B0004020202020204" pitchFamily="34" charset="0"/>
            </a:rPr>
            <a:t>If programming is not done by the agency, or if extensive program verification is required, an additional 0.1% to 1.5% should be added to the fee guidance shown above. </a:t>
          </a:r>
        </a:p>
        <a:p>
          <a:endParaRPr lang="en-US" sz="850">
            <a:latin typeface="Aptos" panose="020B0004020202020204" pitchFamily="34" charset="0"/>
          </a:endParaRPr>
        </a:p>
        <a:p>
          <a:r>
            <a:rPr lang="en-US" sz="850" b="1">
              <a:latin typeface="Aptos" panose="020B0004020202020204" pitchFamily="34" charset="0"/>
            </a:rPr>
            <a:t>High Complexity:</a:t>
          </a:r>
          <a:r>
            <a:rPr lang="en-US" sz="850">
              <a:latin typeface="Aptos" panose="020B0004020202020204" pitchFamily="34" charset="0"/>
            </a:rPr>
            <a:t> Most complex projects both in design and detail include buildings of specialized architectural character, memorial, historic or monumental nature requiring special study or analysis and/or involve complex programs, mechanical systems, code requirements, etc. Project types include auditorium/theaters, communication buildings, extended care facilities, complex engineering projects, laboratories, historical restoration, and museums.</a:t>
          </a:r>
        </a:p>
        <a:p>
          <a:endParaRPr lang="en-US" sz="850">
            <a:latin typeface="Aptos" panose="020B0004020202020204" pitchFamily="34" charset="0"/>
          </a:endParaRPr>
        </a:p>
        <a:p>
          <a:r>
            <a:rPr lang="en-US" sz="850" b="1">
              <a:latin typeface="Aptos" panose="020B0004020202020204" pitchFamily="34" charset="0"/>
            </a:rPr>
            <a:t>Average Complexity:</a:t>
          </a:r>
          <a:r>
            <a:rPr lang="en-US" sz="850">
              <a:latin typeface="Aptos" panose="020B0004020202020204" pitchFamily="34" charset="0"/>
            </a:rPr>
            <a:t> Project types include readiness centers, building systems, maintenance shops, firing ranges, recreational facilities, teaching laboratories, medical offices &amp; clinics, laundry facilities, office buildings, site utilities, university centers, residence halls, and child day care facilities.</a:t>
          </a:r>
        </a:p>
        <a:p>
          <a:endParaRPr lang="en-US" sz="850">
            <a:latin typeface="Aptos" panose="020B0004020202020204" pitchFamily="34" charset="0"/>
          </a:endParaRPr>
        </a:p>
        <a:p>
          <a:r>
            <a:rPr lang="en-US" sz="850" b="1">
              <a:latin typeface="Aptos" panose="020B0004020202020204" pitchFamily="34" charset="0"/>
            </a:rPr>
            <a:t>Low Complexity:</a:t>
          </a:r>
          <a:r>
            <a:rPr lang="en-US" sz="850">
              <a:latin typeface="Aptos" panose="020B0004020202020204" pitchFamily="34" charset="0"/>
            </a:rPr>
            <a:t> Projects are simple or repetitive construction without any great degree of special finish or design effort. May include projects where equipment purchase comprises a large portion of the construction budget. Project types include asbestos removal, building envelope repairs, roofing, life safety compliance, demolition, minimum security correctional centers, park shelters, warehouse, radio/television towers, service garage, and site work.</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128775</xdr:colOff>
      <xdr:row>3</xdr:row>
      <xdr:rowOff>65506</xdr:rowOff>
    </xdr:from>
    <xdr:to>
      <xdr:col>5</xdr:col>
      <xdr:colOff>43431</xdr:colOff>
      <xdr:row>9</xdr:row>
      <xdr:rowOff>20918</xdr:rowOff>
    </xdr:to>
    <xdr:pic>
      <xdr:nvPicPr>
        <xdr:cNvPr id="2" name="Picture 1">
          <a:extLst>
            <a:ext uri="{FF2B5EF4-FFF2-40B4-BE49-F238E27FC236}">
              <a16:creationId xmlns:a16="http://schemas.microsoft.com/office/drawing/2014/main" id="{70E96B46-6ADA-6C49-ADF4-A056D05DF37E}"/>
            </a:ext>
          </a:extLst>
        </xdr:cNvPr>
        <xdr:cNvPicPr>
          <a:picLocks noChangeAspect="1"/>
        </xdr:cNvPicPr>
      </xdr:nvPicPr>
      <xdr:blipFill>
        <a:blip xmlns:r="http://schemas.openxmlformats.org/officeDocument/2006/relationships" r:embed="rId1">
          <a:alphaModFix/>
        </a:blip>
        <a:stretch>
          <a:fillRect/>
        </a:stretch>
      </xdr:blipFill>
      <xdr:spPr>
        <a:xfrm>
          <a:off x="2541775" y="459206"/>
          <a:ext cx="2276856" cy="819012"/>
        </a:xfrm>
        <a:prstGeom prst="rect">
          <a:avLst/>
        </a:prstGeom>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Thomas Bittner" id="{7223F2EA-A35D-FE46-AC16-0681ECF5150B}" userId="S::tbittner@uwsa.edu::9fa59c11-4757-457a-a213-f7b24a97bb8b" providerId="AD"/>
  <person displayName="Bittner, Thomas" id="{C11F905B-0E6B-E942-BEDD-A83E44A5CEF1}" userId="S::thomas.bittner@wisconsin.edu::51e05e43-5127-4d84-8331-217c613877f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B2DADA-B46A-F848-9F27-B0712F1FB60F}" name="DESIGN_FEES" displayName="DESIGN_FEES" ref="U3:AC11" totalsRowShown="0" headerRowDxfId="303" dataDxfId="301" headerRowBorderDxfId="302" tableBorderDxfId="300" dataCellStyle="Percent">
  <autoFilter ref="U3:AC11" xr:uid="{E6B2DADA-B46A-F848-9F27-B0712F1FB60F}"/>
  <tableColumns count="9">
    <tableColumn id="1" xr3:uid="{AF766274-AA6C-3F42-B8E5-AC190F76412E}" name="BUDGET_START" dataDxfId="299"/>
    <tableColumn id="2" xr3:uid="{B096A40B-3385-DD47-8CFB-E0D927784487}" name="BUDGET_END" dataDxfId="298"/>
    <tableColumn id="3" xr3:uid="{766EB070-2BF1-BE48-8EA6-00000651ECBC}" name="LOW_CNST" dataDxfId="297" dataCellStyle="Percent"/>
    <tableColumn id="4" xr3:uid="{11FC937E-27D3-DE42-ADC4-66644C816749}" name="AVERAGE_CNST" dataDxfId="296" dataCellStyle="Percent"/>
    <tableColumn id="5" xr3:uid="{F8FEA3DA-7BD2-B44C-A9A2-B02FF3D0A84D}" name="HIGH_CNST" dataDxfId="295" dataCellStyle="Percent"/>
    <tableColumn id="6" xr3:uid="{21ACCFBC-0C80-7C4F-9FA5-0EB7250537D7}" name="NULL" dataDxfId="294" dataCellStyle="Percent"/>
    <tableColumn id="7" xr3:uid="{FE60D95D-9F93-244C-B646-6EB732E144E2}" name="LOW_RENV" dataDxfId="293" dataCellStyle="Percent"/>
    <tableColumn id="8" xr3:uid="{F556DA66-D839-3743-AE1A-3D9967C45B3E}" name="AVERAGE_RENV" dataDxfId="292" dataCellStyle="Percent"/>
    <tableColumn id="9" xr3:uid="{D8371CAC-2AE4-9E46-B2C6-6607D2C88C35}" name="HIGH_RENV" dataDxfId="291" dataCellStyle="Percent"/>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 dT="2022-12-31T21:26:24.86" personId="{7223F2EA-A35D-FE46-AC16-0681ECF5150B}" id="{31C84E90-F4CD-294C-821E-47C5A2CC8CCE}">
    <text>This worksheet will auto-complete based on Project Budget Worksheet (PBW).</text>
  </threadedComment>
</ThreadedComments>
</file>

<file path=xl/threadedComments/threadedComment2.xml><?xml version="1.0" encoding="utf-8"?>
<ThreadedComments xmlns="http://schemas.microsoft.com/office/spreadsheetml/2018/threadedcomments" xmlns:x="http://schemas.openxmlformats.org/spreadsheetml/2006/main">
  <threadedComment ref="G3" dT="2022-12-31T21:13:53.22" personId="{7223F2EA-A35D-FE46-AC16-0681ECF5150B}" id="{0FBC002F-8431-4248-B393-6FAC3E85DC09}">
    <text>The contents in this cell should be hard coded to the date the PBW is finalized. Simply overwrite the formula with the actual date entry (i.e. 04/01/2022).</text>
  </threadedComment>
  <threadedComment ref="A4" dT="2022-12-31T21:15:03.65" personId="{7223F2EA-A35D-FE46-AC16-0681ECF5150B}" id="{C7403AF5-F38A-1048-9D11-3BC22BAA3422}">
    <text>Intended to contain the UW Institution Name (i.e. UW-INSTITUTION NAME). This field has a drop down pick list to choose from for standardized institution names.</text>
  </threadedComment>
  <threadedComment ref="A5" dT="2022-12-31T21:14:30.14" personId="{7223F2EA-A35D-FE46-AC16-0681ECF5150B}" id="{F93897B8-6825-CE44-B28E-AD2ED8B0063C}">
    <text>AA = All Agency
IS = Instructional Space
MFR = Minor Facilities Renewal
MP = Major Project
P&amp;D = Planning &amp; Design
SP = Small Project
X = Unspecified</text>
  </threadedComment>
  <threadedComment ref="A6" dT="2022-12-31T21:15:25.11" personId="{7223F2EA-A35D-FE46-AC16-0681ECF5150B}" id="{D790599E-DE40-4042-A989-C9F6DC2410AC}">
    <text>Intended to contain the Project Name, Project No., Alternate or Option No., and date reference of publication.</text>
  </threadedComment>
  <threadedComment ref="G9" dT="2022-12-31T21:15:54.50" personId="{7223F2EA-A35D-FE46-AC16-0681ECF5150B}" id="{AAD73E21-82ED-4945-A4BD-519F93EC466D}">
    <text>Base Date should be on or prior to revision date of Project Budget Worksheet template to maximize the actual inflation included in the budget estimate vs. estimated inflation.
Cell has conditional formatting to highlight RED if Base Date &gt; PBW Revision Date or if Base Date is more than 4 years old, highlight YELLOW if the Base Date is between 2-4 years old.</text>
  </threadedComment>
  <threadedComment ref="F10" dT="2024-06-12T15:39:45.71" personId="{C11F905B-0E6B-E942-BEDD-A83E44A5CEF1}" id="{831D22D8-A5AE-114B-851A-D8521F5DA05D}">
    <text>Traditionally prescribed as the Bid Date…but can be defined as the Start of Construction, Mid-Point of Construction, etc. for certain applications if required.</text>
  </threadedComment>
  <threadedComment ref="G12" dT="2022-12-31T21:16:17.79" personId="{7223F2EA-A35D-FE46-AC16-0681ECF5150B}" id="{CBD8749D-37E7-9F44-A7FC-A681C35DCB8B}">
    <text>This value will default to the Escalation (Calculated) value above based on the Base Date and Bid Date values embedded in the ENR Index worksheet included in this workbook template. 
This value can be manually overwritten using the ENR Index values from a future Project Budget Worksheet edition to correct inflation value calculations and estimates after the initial Project Budget Worksheet creation and submittal.</text>
  </threadedComment>
  <threadedComment ref="G14" dT="2022-12-31T21:16:47.22" personId="{7223F2EA-A35D-FE46-AC16-0681ECF5150B}" id="{956A9DB7-1733-994B-BCD3-986104710021}">
    <text>Occupancy Date will autocalculate based on project size and DFD guidance on project duration based on project size.</text>
  </threadedComment>
  <threadedComment ref="F39" dT="2022-12-31T21:17:13.12" personId="{7223F2EA-A35D-FE46-AC16-0681ECF5150B}" id="{447C04C3-3E99-C542-A0F4-983FBCDAA2A6}">
    <text>DFD Standard Trade Unit Costs: Automatically updated based on July 2011 ENR Value and the PBW Base Index Value defined above.</text>
  </threadedComment>
  <threadedComment ref="G67" dT="2022-12-31T21:17:56.37" personId="{7223F2EA-A35D-FE46-AC16-0681ECF5150B}" id="{589A3024-3C7A-4843-938A-F1FDBCC2FD91}">
    <text>DFD Standard Demolition Cost: Automatically updated based on July 2018 ENR Value and the PBW Base Index Value defined above.</text>
  </threadedComment>
  <threadedComment ref="B130" dT="2022-12-31T21:18:23.00" personId="{7223F2EA-A35D-FE46-AC16-0681ECF5150B}" id="{C40C5361-A92B-4640-87E0-349898AFC8AB}">
    <text>Default to 10%, but may range above or below that value dependent on size, complexity, and development status of project. Use Designer's value from feasibility study when possible. Value should be 0% if Design Report is complete.</text>
  </threadedComment>
  <threadedComment ref="B131" dT="2022-12-31T21:18:42.14" personId="{7223F2EA-A35D-FE46-AC16-0681ECF5150B}" id="{37817C58-33BD-1140-AA1C-66FCDDE19BF0}">
    <text xml:space="preserve">Indirect project costs, project specific costs that do not result in an asset. Use Desiger's value from Pre-Design Report when necessary (i.e. when pre-design values that are used in PBW do not already include General conditions factors). </text>
  </threadedComment>
  <threadedComment ref="B132" dT="2022-12-31T21:19:01.67" personId="{7223F2EA-A35D-FE46-AC16-0681ECF5150B}" id="{279762C7-35D2-2B4B-BF29-F86B2EF1013F}">
    <text xml:space="preserve">Indirect non-project costs. Typically ranges from 5% to 15%. Use Desiger's value from Pre-Design Report when necessary (i.e. when pre-design values that are used in PBW do not already include OH&amp;P factors). </text>
  </threadedComment>
  <threadedComment ref="B140" dT="2024-06-12T18:18:48.57" personId="{C11F905B-0E6B-E942-BEDD-A83E44A5CEF1}" id="{AD3FCC11-E83B-C84B-9C08-C30601246C5D}">
    <text>Must be paired with the “Project Complexity Designation” to auto populate the Basic Services percentage based on the “Unescalated Construction Cost Subtotal” value.</text>
  </threadedComment>
  <threadedComment ref="B141" dT="2024-06-12T18:19:27.12" personId="{C11F905B-0E6B-E942-BEDD-A83E44A5CEF1}" id="{D630005F-EB46-F442-B1B4-C0A3ABFC156A}">
    <text>Must be paired with the “Primary Scope of Work Designation” to auto populate the Basic Services percentage based on the “Unescalated Construction Cost Subtotal” value.</text>
  </threadedComment>
  <threadedComment ref="B142" dT="2024-06-12T18:21:34.36" personId="{C11F905B-0E6B-E942-BEDD-A83E44A5CEF1}" id="{C374152A-E1DA-DA44-BB83-A036495E9AC6}">
    <text>Based on three factors and values: “Primary Scope of Work Designation”, “Project Complexity Designation”, and “Unescalated Construction Cost Subtotal”…all of which are located on this page.</text>
  </threadedComment>
  <threadedComment ref="D143" dT="2022-12-31T21:20:29.84" personId="{7223F2EA-A35D-FE46-AC16-0681ECF5150B}" id="{B2507F47-2F72-9243-BC76-2E628E880158}">
    <text>Data Entry in this cell will override the calculated Fee in the Row above based on the % of Construction Cost. This cell can be used for Fees only type projects (i.e. Feasibility Studies, Master Plans, etc.) or when the user needs to match a specific $ amount that is easier to enter than to calculate.</text>
  </threadedComment>
  <threadedComment ref="B144" dT="2022-12-31T21:20:08.20" personId="{7223F2EA-A35D-FE46-AC16-0681ECF5150B}" id="{3A2A6697-23EF-C24B-ADCC-E8E4CFA9ACE4}">
    <text>Normally 4% of A/E fee for Major Projects. Includes survey, geotechnical, and plan review.</text>
  </threadedComment>
  <threadedComment ref="B147" dT="2022-12-31T21:20:53.72" personId="{7223F2EA-A35D-FE46-AC16-0681ECF5150B}" id="{5B9AC1A3-65DE-0549-85D2-51766F9B3B56}">
    <text>Ranges from 1/2% to 1-1/4% for Major Projects.</text>
  </threadedComment>
  <threadedComment ref="B149" dT="2022-12-31T21:21:13.51" personId="{7223F2EA-A35D-FE46-AC16-0681ECF5150B}" id="{1E04D922-8DD6-7541-B220-F6B579C7A90D}">
    <text>Level 1 = 0.00% - 0.25%
Level 2 = 0.15% - 1.00%</text>
  </threadedComment>
  <threadedComment ref="D150" dT="2022-12-31T21:21:36.74" personId="{7223F2EA-A35D-FE46-AC16-0681ECF5150B}" id="{D25DB76D-ECD2-A64C-A653-A48862C03227}">
    <text>Type  I: $50,000 - $100,000 Type II: $30,000 - $50,000</text>
  </threadedComment>
  <threadedComment ref="B157" dT="2022-12-31T21:21:58.10" personId="{7223F2EA-A35D-FE46-AC16-0681ECF5150B}" id="{4F015D2C-D763-8347-99BE-4DAD4B0C39E6}">
    <text>This Design Fee is a percent of the OFCI Furnishings, Fixtures, &amp; Equipment Cost Estimate. Percentages will vary based on complexity of project, FF&amp;E items, and services desired.
≤4% of FF&amp;E Budget: Selection and specification only.
≤10% of FF&amp;E Budget: Selection, specification, layout/design, and procurement assistance. 
REQUIRES DATA ENTRY IN ONE OR MORE OF THE FIVE ROWS IMMEDIATELY BELOW THIS ROW.</text>
  </threadedComment>
  <threadedComment ref="B166" dT="2022-12-31T21:22:18.75" personId="{7223F2EA-A35D-FE46-AC16-0681ECF5150B}" id="{B5335DAB-1056-0D4F-AC41-C09616CAAE0D}">
    <text>Percent of Total Construction Cost. 15% default for all projects.</text>
  </threadedComment>
  <threadedComment ref="D168" dT="2022-12-31T21:22:40.26" personId="{7223F2EA-A35D-FE46-AC16-0681ECF5150B}" id="{68FCACE1-27B0-E04B-891C-23C0CD0B41D3}">
    <text>4% of (Total Construction Cost + Project Contingency).</text>
  </threadedComment>
  <threadedComment ref="B173" dT="2022-12-31T21:23:10.64" personId="{7223F2EA-A35D-FE46-AC16-0681ECF5150B}" id="{08D0C541-376B-6C4F-BC08-C51B81C1434A}">
    <text>Lump sum percentage of construction value + the itemized costs in the five rows below this row. Percentages will vary based on project type, how much existing FF&amp;E will be salvaged, etc. 
     - Typical project 5-10% 
     - Laboratory buildings 10-15%</text>
  </threadedComment>
</ThreadedComments>
</file>

<file path=xl/threadedComments/threadedComment3.xml><?xml version="1.0" encoding="utf-8"?>
<ThreadedComments xmlns="http://schemas.microsoft.com/office/spreadsheetml/2018/threadedcomments" xmlns:x="http://schemas.openxmlformats.org/spreadsheetml/2006/main">
  <threadedComment ref="H1" dT="2022-12-31T21:25:51.56" personId="{7223F2EA-A35D-FE46-AC16-0681ECF5150B}" id="{FA364F24-0F4A-A94F-B31F-D2A80431623B}">
    <text>This worksheet will auto-complete based on Project Budget Worksheet (PBW).</text>
  </threadedComment>
</ThreadedComments>
</file>

<file path=xl/threadedComments/threadedComment4.xml><?xml version="1.0" encoding="utf-8"?>
<ThreadedComments xmlns="http://schemas.microsoft.com/office/spreadsheetml/2018/threadedcomments" xmlns:x="http://schemas.openxmlformats.org/spreadsheetml/2006/main">
  <threadedComment ref="H1" dT="2022-12-31T21:27:02.39" personId="{7223F2EA-A35D-FE46-AC16-0681ECF5150B}" id="{86542E4D-466F-1D43-8AA7-E03BD517DCF5}">
    <text>This worksheet will auto-complete based on Project Budget Worksheet (PBW).</text>
  </threadedComment>
</ThreadedComments>
</file>

<file path=xl/threadedComments/threadedComment5.xml><?xml version="1.0" encoding="utf-8"?>
<ThreadedComments xmlns="http://schemas.microsoft.com/office/spreadsheetml/2018/threadedcomments" xmlns:x="http://schemas.openxmlformats.org/spreadsheetml/2006/main">
  <threadedComment ref="B4" dT="2022-12-05T15:46:10.20" personId="{7223F2EA-A35D-FE46-AC16-0681ECF5150B}" id="{6E06592F-9380-4F45-A608-51E48933FBB4}">
    <text>Although it is possible to make duplicates of the PBW worksheet in the same file to explore alternatives and options, the PBW_Summary worksheet will only map to the original PBW worksheet content.</text>
  </threadedComment>
  <threadedComment ref="B8" dT="2022-12-05T16:08:12.73" personId="{7223F2EA-A35D-FE46-AC16-0681ECF5150B}" id="{5BE3ABF1-BC84-EC4C-A6F4-52933D778F0C}">
    <text>Data source found at &lt;https://www.enr.com/economics/historical_indices/building_cost_index_history&gt;, but requires user account to access data content.</text>
    <extLst>
      <x:ext xmlns:xltc2="http://schemas.microsoft.com/office/spreadsheetml/2020/threadedcomments2" uri="{F7C98A9C-CBB3-438F-8F68-D28B6AF4A901}">
        <xltc2:checksum>1998844411</xltc2:checksum>
        <xltc2:hyperlink startIndex="22" length="76" url="https://www.enr.com/economics/historical_indices/building_cost_index_history"/>
      </x:ext>
    </extLst>
  </threadedComment>
  <threadedComment ref="B12" dT="2022-12-05T16:10:06.13" personId="{7223F2EA-A35D-FE46-AC16-0681ECF5150B}" id="{FEACA315-21B6-6D48-8107-FFB4B86BE337}">
    <text xml:space="preserve">PBW Revision Date and associated fields primarily created and generated to facilitate easy template updates without having to manually edit each worksheet in the template for a revision date. </text>
  </threadedComment>
</ThreadedComments>
</file>

<file path=xl/threadedComments/threadedComment6.xml><?xml version="1.0" encoding="utf-8"?>
<ThreadedComments xmlns="http://schemas.microsoft.com/office/spreadsheetml/2018/threadedcomments" xmlns:x="http://schemas.openxmlformats.org/spreadsheetml/2006/main">
  <threadedComment ref="G3" dT="2022-12-31T21:13:53.22" personId="{7223F2EA-A35D-FE46-AC16-0681ECF5150B}" id="{223E172D-512D-4542-AA07-472BB1BB7185}">
    <text>The contents in this cell should be hard coded to the date the PBW is finalized. Simply overwrite the formula with the actual date entry (i.e. 04/01/2022).</text>
  </threadedComment>
  <threadedComment ref="A4" dT="2022-12-31T21:15:03.65" personId="{7223F2EA-A35D-FE46-AC16-0681ECF5150B}" id="{2F986ECF-79B7-B54B-A1AD-E152C1B50C63}">
    <text>Intended to contain the UW Institution Name (i.e. UW-INSTITUTION NAME). This field has a drop down pick list to choose from for standardized institution names.</text>
  </threadedComment>
  <threadedComment ref="A5" dT="2022-12-31T21:14:30.14" personId="{7223F2EA-A35D-FE46-AC16-0681ECF5150B}" id="{D92B2A61-7CD5-2B4B-9929-02524E5C5107}">
    <text>AA = All Agency
IS = Instructional Space
MFR = Minor Facilities Renewal
MP = Major Project
P&amp;D = Planning &amp; Design
SP = Small Project
X = Unspecified</text>
  </threadedComment>
  <threadedComment ref="A6" dT="2022-12-31T21:15:25.11" personId="{7223F2EA-A35D-FE46-AC16-0681ECF5150B}" id="{35A694EB-AED8-9243-9AF5-90E5E8154315}">
    <text>Intended to contain the Project Name, Project No., Alternate or Option No., and date reference of publication.</text>
  </threadedComment>
  <threadedComment ref="G9" dT="2022-12-31T21:15:54.50" personId="{7223F2EA-A35D-FE46-AC16-0681ECF5150B}" id="{B28A4F24-51A7-D841-97B0-303F28266980}">
    <text>Base Date should be on or prior to revision date of Project Budget Worksheet template to maximize the actual inflation included in the budget estimate vs. estimated inflation.
Cell has conditional formatting to highlight RED if Base Date &gt; PBW Revision Date or if Base Date is more than 4 years old, highlight YELLOW if the Base Date is between 2-4 years old.</text>
  </threadedComment>
  <threadedComment ref="F10" dT="2024-06-12T15:39:45.71" personId="{C11F905B-0E6B-E942-BEDD-A83E44A5CEF1}" id="{E7E27831-FB1D-4A41-A636-CD87EC66955B}">
    <text>Traditionally prescribed as the Bid Date…but can be defined as the Start of Construction, Mid-Point of Construction, etc. for certain applications if required.</text>
  </threadedComment>
  <threadedComment ref="G12" dT="2022-12-31T21:16:17.79" personId="{7223F2EA-A35D-FE46-AC16-0681ECF5150B}" id="{C0A6D5A2-DBDC-8040-AB1F-44D14390B2FE}">
    <text>This value will default to the Escalation (Calculated) value above based on the Base Date and Bid Date values embedded in the ENR Index worksheet included in this workbook template. 
This value can be manually overwritten using the ENR Index values from a future Project Budget Worksheet edition to correct inflation value calculations and estimates after the initial Project Budget Worksheet creation and submittal.</text>
  </threadedComment>
  <threadedComment ref="G14" dT="2022-12-31T21:16:47.22" personId="{7223F2EA-A35D-FE46-AC16-0681ECF5150B}" id="{73925993-D07F-4F4B-8F77-FBAA223FA221}">
    <text>Occupancy Date will autocalculate based on project size and DFD guidance on project duration based on project size.</text>
  </threadedComment>
  <threadedComment ref="F39" dT="2022-12-31T21:17:13.12" personId="{7223F2EA-A35D-FE46-AC16-0681ECF5150B}" id="{5DD1AFF3-A90C-CE4F-9A30-919439A2DEC5}">
    <text>DFD Standard Trade Unit Costs: Automatically updated based on July 2011 ENR Value and the PBW Base Index Value defined above.</text>
  </threadedComment>
  <threadedComment ref="G67" dT="2022-12-31T21:17:56.37" personId="{7223F2EA-A35D-FE46-AC16-0681ECF5150B}" id="{19C66088-064D-4B42-9B5E-EF61867D02E3}">
    <text>DFD Standard Demolition Cost: Automatically updated based on July 2018 ENR Value and the PBW Base Index Value defined above.</text>
  </threadedComment>
  <threadedComment ref="B130" dT="2022-12-31T21:18:23.00" personId="{7223F2EA-A35D-FE46-AC16-0681ECF5150B}" id="{28867496-1D6D-8047-8F05-58E4E8ED287A}">
    <text>Default to 10%, but may range above or below that value dependent on size, complexity, and development status of project. Use Designer's value from feasibility study when possible. Value should be 0% if Design Report is complete.</text>
  </threadedComment>
  <threadedComment ref="B131" dT="2022-12-31T21:18:42.14" personId="{7223F2EA-A35D-FE46-AC16-0681ECF5150B}" id="{15119643-7047-0A4C-9A84-A15476CAA8DA}">
    <text xml:space="preserve">Indirect project costs, project specific costs that do not result in an asset. Use Desiger's value from Pre-Design Report when necessary (i.e. when pre-design values that are used in PBW do not already include General conditions factors). </text>
  </threadedComment>
  <threadedComment ref="B132" dT="2022-12-31T21:19:01.67" personId="{7223F2EA-A35D-FE46-AC16-0681ECF5150B}" id="{A2CFD96E-3C5F-A44A-AEBB-5DAB98F245D5}">
    <text xml:space="preserve">Indirect non-project costs. Typically ranges from 5% to 15%. Use Desiger's value from Pre-Design Report when necessary (i.e. when pre-design values that are used in PBW do not already include OH&amp;P factors). </text>
  </threadedComment>
  <threadedComment ref="B140" dT="2024-06-12T18:18:48.57" personId="{C11F905B-0E6B-E942-BEDD-A83E44A5CEF1}" id="{D4EC64CB-9EB4-3045-BB8E-18F05F26F1E5}">
    <text>Must be paired with the “Project Complexity Designation” to auto populate the Basic Services percentage based on the “Unescalated Construction Cost Subtotal” value.</text>
  </threadedComment>
  <threadedComment ref="B141" dT="2024-06-12T18:19:27.12" personId="{C11F905B-0E6B-E942-BEDD-A83E44A5CEF1}" id="{D548B474-BC96-0644-BF11-F0DEC124D533}">
    <text>Must be paired with the “Primary Scope of Work Designation” to auto populate the Basic Services percentage based on the “Unescalated Construction Cost Subtotal” value.</text>
  </threadedComment>
  <threadedComment ref="B142" dT="2024-06-12T18:21:34.36" personId="{C11F905B-0E6B-E942-BEDD-A83E44A5CEF1}" id="{5E823C52-D8FC-FB40-BCC6-07EADEA1530A}">
    <text>Based on three factors and values: “Primary Scope of Work Designation”, “Project Complexity Designation”, and “Unescalated Construction Cost Subtotal”…all of which are located on this page.</text>
  </threadedComment>
  <threadedComment ref="D143" dT="2022-12-31T21:20:29.84" personId="{7223F2EA-A35D-FE46-AC16-0681ECF5150B}" id="{EE967316-3C59-4440-8764-B3A6779286A1}">
    <text>Data Entry in this cell will override the calculated Fee in the Row above based on the % of Construction Cost. This cell can be used for Fees only type projects (i.e. Feasibility Studies, Master Plans, etc.) or when the user needs to match a specific $ amount that is easier to enter than to calculate.</text>
  </threadedComment>
  <threadedComment ref="B144" dT="2022-12-31T21:20:08.20" personId="{7223F2EA-A35D-FE46-AC16-0681ECF5150B}" id="{C81183D0-C679-C547-BD91-64D118FCB9F2}">
    <text>Normally 4% of A/E fee for Major Projects. Includes survey, geotechnical, and plan review.</text>
  </threadedComment>
  <threadedComment ref="B147" dT="2022-12-31T21:20:53.72" personId="{7223F2EA-A35D-FE46-AC16-0681ECF5150B}" id="{E6C33C05-2B91-8941-A45F-7F5D6AB5F346}">
    <text>Ranges from 1/2% to 1-1/4% for Major Projects.</text>
  </threadedComment>
  <threadedComment ref="B149" dT="2022-12-31T21:21:13.51" personId="{7223F2EA-A35D-FE46-AC16-0681ECF5150B}" id="{3362ABED-CFBD-0940-9260-0D2D57E68462}">
    <text>Level 1 = 0.00% - 0.25%
Level 2 = 0.15% - 1.00%</text>
  </threadedComment>
  <threadedComment ref="D150" dT="2022-12-31T21:21:36.74" personId="{7223F2EA-A35D-FE46-AC16-0681ECF5150B}" id="{2C9D654F-0FEC-E240-8972-66056A5BC3E7}">
    <text>Type  I: $50,000 - $100,000 Type II: $30,000 - $50,000</text>
  </threadedComment>
  <threadedComment ref="B157" dT="2022-12-31T21:21:58.10" personId="{7223F2EA-A35D-FE46-AC16-0681ECF5150B}" id="{32223761-2266-B84A-BFAD-CA302C931016}">
    <text>This Design Fee is a percent of the OFCI Furnishings, Fixtures, &amp; Equipment Cost Estimate. Percentages will vary based on complexity of project, FF&amp;E items, and services desired.
≤4% of FF&amp;E Budget: Selection and specification only.
≤10% of FF&amp;E Budget: Selection, specification, layout/design, and procurement assistance. 
REQUIRES DATA ENTRY IN ONE OR MORE OF THE FIVE ROWS IMMEDIATELY BELOW THIS ROW.</text>
  </threadedComment>
  <threadedComment ref="B166" dT="2022-12-31T21:22:18.75" personId="{7223F2EA-A35D-FE46-AC16-0681ECF5150B}" id="{9C44C459-B1C9-AB41-AD8D-683A4E1FE85B}">
    <text>Percent of Total Construction Cost. 15% default for all projects.</text>
  </threadedComment>
  <threadedComment ref="D168" dT="2022-12-31T21:22:40.26" personId="{7223F2EA-A35D-FE46-AC16-0681ECF5150B}" id="{B8FCC3B0-9BF1-3B49-B1F0-DAFD6995BFD8}">
    <text>4% of (Total Construction Cost + Project Contingency).</text>
  </threadedComment>
  <threadedComment ref="B173" dT="2022-12-31T21:23:10.64" personId="{7223F2EA-A35D-FE46-AC16-0681ECF5150B}" id="{C5844CCA-C0FF-824D-BAAA-5BB80C710B4A}">
    <text>Lump sum percentage of construction value + the itemized costs in the five rows below this row. Percentages will vary based on project type, how much existing FF&amp;E will be salvaged, etc. 
     - Typical project 5-10% 
     - Laboratory buildings 10-15%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microsoft.com/office/2017/10/relationships/threadedComment" Target="../threadedComments/threadedComment6.xm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5776"/>
  </sheetPr>
  <dimension ref="A1:U59"/>
  <sheetViews>
    <sheetView showGridLines="0" view="pageLayout" workbookViewId="0">
      <selection activeCell="H3" sqref="H3"/>
    </sheetView>
  </sheetViews>
  <sheetFormatPr baseColWidth="10" defaultColWidth="9.19921875" defaultRowHeight="12"/>
  <cols>
    <col min="1" max="1" width="21" customWidth="1"/>
    <col min="2" max="2" width="12.3984375" customWidth="1"/>
    <col min="3" max="3" width="11.796875" customWidth="1"/>
    <col min="4" max="4" width="11.796875" bestFit="1" customWidth="1"/>
    <col min="5" max="5" width="23.59765625" customWidth="1"/>
    <col min="8" max="8" width="13.796875" customWidth="1"/>
    <col min="9" max="9" width="14.3984375" customWidth="1"/>
    <col min="10" max="10" width="10.796875" customWidth="1"/>
    <col min="11" max="11" width="53.59765625" bestFit="1" customWidth="1"/>
  </cols>
  <sheetData>
    <row r="1" spans="1:21" ht="13">
      <c r="A1" s="175" t="s">
        <v>281</v>
      </c>
      <c r="B1" s="176"/>
      <c r="C1" s="176"/>
      <c r="D1" s="176"/>
      <c r="E1" s="176"/>
      <c r="F1" s="176"/>
      <c r="G1" s="176"/>
      <c r="H1" s="177" t="str">
        <f>"PROJECT BUDGET WORKSHEET SUMMARY"&amp;" "&amp;VERSION</f>
        <v>PROJECT BUDGET WORKSHEET SUMMARY Rev. 2025-05BR</v>
      </c>
      <c r="I1" s="513" t="s">
        <v>139</v>
      </c>
      <c r="J1" s="514"/>
      <c r="K1" s="514"/>
      <c r="L1" s="514"/>
      <c r="M1" s="514"/>
      <c r="N1" s="514"/>
      <c r="O1" s="514"/>
    </row>
    <row r="2" spans="1:21">
      <c r="A2" s="83"/>
      <c r="B2" s="83"/>
      <c r="C2" s="83"/>
      <c r="D2" s="83"/>
      <c r="E2" s="83"/>
      <c r="F2" s="84" t="s">
        <v>16</v>
      </c>
      <c r="G2" s="83"/>
      <c r="H2" s="83"/>
      <c r="I2" s="178">
        <f>(PBW!$H$61)</f>
        <v>0</v>
      </c>
      <c r="J2" s="83"/>
      <c r="K2" s="179" t="s">
        <v>88</v>
      </c>
      <c r="L2" s="179"/>
      <c r="M2" s="179"/>
      <c r="N2" s="179"/>
      <c r="O2" s="179"/>
      <c r="P2" s="1"/>
      <c r="Q2" s="1"/>
      <c r="R2" s="1"/>
      <c r="S2" s="1"/>
      <c r="T2" s="1"/>
      <c r="U2" s="1"/>
    </row>
    <row r="3" spans="1:21">
      <c r="A3" s="85" t="s">
        <v>17</v>
      </c>
      <c r="B3" s="515" t="str">
        <f>UPPER(PBW!$B$3)</f>
        <v>X</v>
      </c>
      <c r="C3" s="515"/>
      <c r="D3" s="515"/>
      <c r="E3" s="515"/>
      <c r="F3" s="84" t="s">
        <v>107</v>
      </c>
      <c r="G3" s="83"/>
      <c r="H3" s="351">
        <f ca="1">(PBW!$H$3)</f>
        <v>45777</v>
      </c>
      <c r="I3" s="178">
        <f>(PBW!$H$67)</f>
        <v>0</v>
      </c>
      <c r="J3" s="83"/>
      <c r="K3" s="179" t="s">
        <v>133</v>
      </c>
      <c r="L3" s="179"/>
      <c r="M3" s="179"/>
      <c r="N3" s="179"/>
      <c r="O3" s="179"/>
      <c r="P3" s="1"/>
      <c r="Q3" s="1"/>
      <c r="R3" s="1"/>
      <c r="S3" s="1"/>
      <c r="T3" s="1"/>
      <c r="U3" s="1"/>
    </row>
    <row r="4" spans="1:21">
      <c r="A4" s="85" t="s">
        <v>74</v>
      </c>
      <c r="B4" s="83" t="str">
        <f>UPPER(PBW!$B$4)</f>
        <v>X</v>
      </c>
      <c r="C4" s="516"/>
      <c r="D4" s="516"/>
      <c r="E4" s="516"/>
      <c r="F4" s="84" t="s">
        <v>108</v>
      </c>
      <c r="G4" s="83"/>
      <c r="H4" s="352" t="str">
        <f>UPPER(PBW!$H$4)</f>
        <v>XXX</v>
      </c>
      <c r="I4" s="178">
        <f>(PBW!$H$104)</f>
        <v>0</v>
      </c>
      <c r="J4" s="83"/>
      <c r="K4" s="179" t="s">
        <v>86</v>
      </c>
      <c r="L4" s="179"/>
      <c r="M4" s="179"/>
      <c r="N4" s="179"/>
      <c r="O4" s="179"/>
      <c r="P4" s="1"/>
      <c r="Q4" s="1"/>
      <c r="R4" s="1"/>
      <c r="S4" s="1"/>
      <c r="T4" s="1"/>
      <c r="U4" s="1"/>
    </row>
    <row r="5" spans="1:21">
      <c r="A5" s="87" t="s">
        <v>349</v>
      </c>
      <c r="B5" s="93" t="str">
        <f>UPPER(PBW!$B$5)</f>
        <v>X</v>
      </c>
      <c r="C5" s="516"/>
      <c r="D5" s="516"/>
      <c r="E5" s="516"/>
      <c r="F5" s="83" t="s">
        <v>38</v>
      </c>
      <c r="G5" s="83"/>
      <c r="H5" s="353" t="str">
        <f>UPPER(PBW!$H$5)</f>
        <v>XXX</v>
      </c>
      <c r="I5" s="180">
        <f>(PBW!$H$113)</f>
        <v>0</v>
      </c>
      <c r="J5" s="83"/>
      <c r="K5" s="179" t="s">
        <v>141</v>
      </c>
      <c r="L5" s="179"/>
      <c r="M5" s="179"/>
      <c r="N5" s="179"/>
      <c r="O5" s="179"/>
      <c r="P5" s="1"/>
      <c r="Q5" s="1"/>
      <c r="R5" s="1"/>
      <c r="S5" s="1"/>
      <c r="T5" s="1"/>
      <c r="U5" s="1"/>
    </row>
    <row r="6" spans="1:21">
      <c r="A6" s="85" t="s">
        <v>347</v>
      </c>
      <c r="B6" s="83" t="str">
        <f>UPPER(PBW!$B$6)</f>
        <v>X</v>
      </c>
      <c r="C6" s="516"/>
      <c r="D6" s="516"/>
      <c r="E6" s="516"/>
      <c r="F6" s="85" t="s">
        <v>321</v>
      </c>
      <c r="G6" s="83"/>
      <c r="H6" s="181">
        <f>(PBW!$H$6)</f>
        <v>0</v>
      </c>
      <c r="I6" s="182">
        <f>(PBW!$H$115)</f>
        <v>0</v>
      </c>
      <c r="J6" s="87"/>
      <c r="K6" s="183" t="s">
        <v>87</v>
      </c>
      <c r="L6" s="179"/>
      <c r="M6" s="179"/>
      <c r="N6" s="179"/>
      <c r="O6" s="179"/>
      <c r="P6" s="1"/>
      <c r="Q6" s="1"/>
      <c r="R6" s="1"/>
      <c r="S6" s="1"/>
      <c r="T6" s="1"/>
      <c r="U6" s="1"/>
    </row>
    <row r="7" spans="1:21">
      <c r="A7" s="83"/>
      <c r="B7" s="83"/>
      <c r="C7" s="516"/>
      <c r="D7" s="516"/>
      <c r="E7" s="516"/>
      <c r="F7" s="83"/>
      <c r="G7" s="83"/>
      <c r="H7" s="83"/>
      <c r="I7" s="178">
        <f>ROUND(($I$6*$J$7),-3)</f>
        <v>0</v>
      </c>
      <c r="J7" s="184">
        <f>(PBW!$C$130)</f>
        <v>0</v>
      </c>
      <c r="K7" s="179" t="s">
        <v>134</v>
      </c>
      <c r="L7" s="179"/>
      <c r="M7" s="179"/>
      <c r="N7" s="179"/>
      <c r="O7" s="179"/>
      <c r="P7" s="1"/>
      <c r="Q7" s="1"/>
      <c r="R7" s="1"/>
      <c r="S7" s="1"/>
      <c r="T7" s="1"/>
      <c r="U7" s="1"/>
    </row>
    <row r="8" spans="1:21">
      <c r="A8" s="85" t="s">
        <v>18</v>
      </c>
      <c r="B8" s="83"/>
      <c r="C8" s="516"/>
      <c r="D8" s="516"/>
      <c r="E8" s="516"/>
      <c r="F8" s="83"/>
      <c r="G8" s="83"/>
      <c r="H8" s="83"/>
      <c r="I8" s="178">
        <f>ROUND(($I$6*$J$8),-3)</f>
        <v>0</v>
      </c>
      <c r="J8" s="184">
        <f>(PBW!$C$132)</f>
        <v>0</v>
      </c>
      <c r="K8" s="179" t="s">
        <v>135</v>
      </c>
      <c r="L8" s="179"/>
      <c r="M8" s="179"/>
      <c r="N8" s="179"/>
      <c r="O8" s="179"/>
      <c r="P8" s="1"/>
      <c r="Q8" s="1"/>
      <c r="R8" s="1"/>
      <c r="S8" s="1"/>
      <c r="T8" s="1"/>
      <c r="U8" s="1"/>
    </row>
    <row r="9" spans="1:21">
      <c r="A9" s="84" t="s">
        <v>19</v>
      </c>
      <c r="B9" s="111">
        <f>(PBW!$B$9)</f>
        <v>0</v>
      </c>
      <c r="C9" s="83"/>
      <c r="D9" s="83"/>
      <c r="E9" s="83"/>
      <c r="F9" s="84" t="s">
        <v>45</v>
      </c>
      <c r="G9" s="83"/>
      <c r="H9" s="354">
        <f>(PBW!$H$9)</f>
        <v>45778</v>
      </c>
      <c r="I9" s="185">
        <f>(PBW!$H$119)</f>
        <v>0</v>
      </c>
      <c r="J9" s="83"/>
      <c r="K9" s="179" t="s">
        <v>61</v>
      </c>
      <c r="L9" s="179"/>
      <c r="M9" s="179"/>
      <c r="N9" s="179"/>
      <c r="O9" s="179"/>
      <c r="P9" s="1"/>
      <c r="Q9" s="1"/>
      <c r="R9" s="1"/>
      <c r="S9" s="1"/>
      <c r="T9" s="1"/>
      <c r="U9" s="1"/>
    </row>
    <row r="10" spans="1:21">
      <c r="A10" s="84" t="s">
        <v>20</v>
      </c>
      <c r="B10" s="111">
        <f>(PBW!$B$10)</f>
        <v>0</v>
      </c>
      <c r="C10" s="94">
        <f>(PBW!$C$10)</f>
        <v>0</v>
      </c>
      <c r="D10" s="83" t="s">
        <v>43</v>
      </c>
      <c r="E10" s="83"/>
      <c r="F10" s="84" t="s">
        <v>160</v>
      </c>
      <c r="G10" s="83"/>
      <c r="H10" s="358">
        <f>(PBW!$G$9)</f>
        <v>8520.44</v>
      </c>
      <c r="I10" s="182">
        <f>(PBW!$H$117)</f>
        <v>0</v>
      </c>
      <c r="J10" s="87"/>
      <c r="K10" s="183" t="s">
        <v>136</v>
      </c>
      <c r="L10" s="179"/>
      <c r="M10" s="179"/>
      <c r="N10" s="179"/>
      <c r="O10" s="179"/>
      <c r="P10" s="1"/>
      <c r="Q10" s="1"/>
      <c r="R10" s="1"/>
      <c r="S10" s="1"/>
      <c r="T10" s="1"/>
      <c r="U10" s="1"/>
    </row>
    <row r="11" spans="1:21">
      <c r="A11" s="83"/>
      <c r="B11" s="93"/>
      <c r="C11" s="83"/>
      <c r="D11" s="83"/>
      <c r="E11" s="83"/>
      <c r="F11" s="84" t="s">
        <v>371</v>
      </c>
      <c r="G11" s="83"/>
      <c r="H11" s="354">
        <f>(PBW!$H$10)</f>
        <v>47300</v>
      </c>
      <c r="I11" s="185">
        <f>ROUND(($I$10*$J$11),-3)</f>
        <v>0</v>
      </c>
      <c r="J11" s="186">
        <f>(ENR)</f>
        <v>1.2832258149353633</v>
      </c>
      <c r="K11" s="179" t="s">
        <v>137</v>
      </c>
      <c r="L11" s="179"/>
      <c r="M11" s="179"/>
      <c r="N11" s="179"/>
      <c r="O11" s="179"/>
      <c r="P11" s="1"/>
      <c r="Q11" s="1"/>
      <c r="R11" s="1"/>
      <c r="S11" s="1"/>
      <c r="T11" s="1"/>
      <c r="U11" s="1"/>
    </row>
    <row r="12" spans="1:21">
      <c r="A12" s="83"/>
      <c r="B12" s="93"/>
      <c r="C12" s="83"/>
      <c r="D12" s="83"/>
      <c r="E12" s="83"/>
      <c r="F12" s="84" t="s">
        <v>375</v>
      </c>
      <c r="G12" s="83"/>
      <c r="H12" s="358">
        <f>(PBW!$G$10)</f>
        <v>10933.648562607867</v>
      </c>
      <c r="I12" s="182">
        <f>($I$11-$I$10)</f>
        <v>0</v>
      </c>
      <c r="J12" s="187"/>
      <c r="K12" s="183" t="s">
        <v>138</v>
      </c>
      <c r="L12" s="179"/>
      <c r="M12" s="179"/>
      <c r="N12" s="179"/>
      <c r="O12" s="179"/>
      <c r="P12" s="1"/>
      <c r="Q12" s="1"/>
      <c r="R12" s="1"/>
      <c r="S12" s="1"/>
      <c r="T12" s="1"/>
      <c r="U12" s="1"/>
    </row>
    <row r="13" spans="1:21">
      <c r="A13" s="85" t="s">
        <v>21</v>
      </c>
      <c r="B13" s="93"/>
      <c r="C13" s="83"/>
      <c r="D13" s="83"/>
      <c r="E13" s="315" t="str">
        <f>(PBW!$G$135)</f>
        <v>NORMAL</v>
      </c>
      <c r="F13" s="84" t="s">
        <v>376</v>
      </c>
      <c r="G13" s="83"/>
      <c r="H13" s="355">
        <f>(ENR)</f>
        <v>1.2832258149353633</v>
      </c>
      <c r="I13" s="83"/>
      <c r="J13" s="83"/>
      <c r="K13" s="83"/>
      <c r="L13" s="83"/>
      <c r="M13" s="83"/>
      <c r="N13" s="83"/>
      <c r="O13" s="83"/>
      <c r="P13" s="1"/>
      <c r="Q13" s="1"/>
      <c r="R13" s="1"/>
      <c r="S13" s="1"/>
      <c r="T13" s="1"/>
      <c r="U13" s="1"/>
    </row>
    <row r="14" spans="1:21" ht="13">
      <c r="A14" s="84" t="s">
        <v>22</v>
      </c>
      <c r="B14" s="111">
        <f>PBW!B13</f>
        <v>0</v>
      </c>
      <c r="C14" s="83"/>
      <c r="D14" s="83"/>
      <c r="E14" s="83"/>
      <c r="F14" s="83"/>
      <c r="G14" s="83"/>
      <c r="H14" s="83"/>
      <c r="I14" s="513" t="s">
        <v>140</v>
      </c>
      <c r="J14" s="514"/>
      <c r="K14" s="514"/>
      <c r="L14" s="514"/>
      <c r="M14" s="514"/>
      <c r="N14" s="514"/>
      <c r="O14" s="514"/>
      <c r="P14" s="1"/>
      <c r="Q14" s="1"/>
      <c r="R14" s="1"/>
      <c r="S14" s="1"/>
      <c r="T14" s="1"/>
      <c r="U14" s="1"/>
    </row>
    <row r="15" spans="1:21">
      <c r="A15" s="84" t="s">
        <v>23</v>
      </c>
      <c r="B15" s="111">
        <f>PBW!B14</f>
        <v>0</v>
      </c>
      <c r="C15" s="94">
        <f>PBW!C14</f>
        <v>0</v>
      </c>
      <c r="D15" s="83" t="s">
        <v>44</v>
      </c>
      <c r="E15" s="83"/>
      <c r="F15" s="84" t="s">
        <v>106</v>
      </c>
      <c r="G15" s="83"/>
      <c r="H15" s="354" t="str">
        <f>(PBW!$H$14)</f>
        <v/>
      </c>
      <c r="I15" s="178">
        <f>(PBW!$H$113)</f>
        <v>0</v>
      </c>
      <c r="J15" s="83"/>
      <c r="K15" s="179" t="s">
        <v>142</v>
      </c>
      <c r="L15" s="83"/>
      <c r="M15" s="83"/>
      <c r="N15" s="83"/>
      <c r="O15" s="83"/>
      <c r="P15" s="1"/>
      <c r="Q15" s="1"/>
      <c r="R15" s="1"/>
      <c r="S15" s="1"/>
      <c r="T15" s="1"/>
      <c r="U15" s="1"/>
    </row>
    <row r="16" spans="1:21">
      <c r="A16" s="84"/>
      <c r="B16" s="93"/>
      <c r="C16" s="94"/>
      <c r="D16" s="83"/>
      <c r="E16" s="83"/>
      <c r="F16" s="84"/>
      <c r="G16" s="83"/>
      <c r="H16" s="188"/>
      <c r="I16" s="178">
        <f>(PBW!$G$158)</f>
        <v>0</v>
      </c>
      <c r="J16" s="184">
        <f>(PBW!$C$157)</f>
        <v>0</v>
      </c>
      <c r="K16" s="179" t="s">
        <v>143</v>
      </c>
      <c r="L16" s="189">
        <f>(PBW!$E$157)</f>
        <v>0</v>
      </c>
      <c r="M16" s="186" t="s">
        <v>145</v>
      </c>
      <c r="N16" s="186"/>
      <c r="O16" s="186"/>
      <c r="P16" s="1"/>
      <c r="Q16" s="1"/>
      <c r="R16" s="1"/>
      <c r="S16" s="1"/>
      <c r="T16" s="1"/>
      <c r="U16" s="1"/>
    </row>
    <row r="17" spans="1:21">
      <c r="A17" s="84"/>
      <c r="B17" s="93"/>
      <c r="C17" s="107">
        <f>(PBW!$C$182)</f>
        <v>0</v>
      </c>
      <c r="D17" s="174" t="s">
        <v>41</v>
      </c>
      <c r="E17" s="83"/>
      <c r="F17" s="84"/>
      <c r="G17" s="83"/>
      <c r="H17" s="188"/>
      <c r="I17" s="190">
        <f>(PBW!$G$172)</f>
        <v>0</v>
      </c>
      <c r="J17" s="184">
        <f>(PBW!$C$173)</f>
        <v>0</v>
      </c>
      <c r="K17" s="179" t="s">
        <v>144</v>
      </c>
      <c r="L17" s="189">
        <f>(PBW!$E$173)</f>
        <v>0</v>
      </c>
      <c r="M17" s="186" t="s">
        <v>146</v>
      </c>
      <c r="N17" s="186"/>
      <c r="O17" s="191" t="str">
        <f>IF($L$17&gt;0,($L$17/$I$17),"")</f>
        <v/>
      </c>
      <c r="P17" s="1"/>
      <c r="Q17" s="1"/>
      <c r="R17" s="1"/>
      <c r="S17" s="1"/>
      <c r="T17" s="1"/>
      <c r="U17" s="1"/>
    </row>
    <row r="18" spans="1:21">
      <c r="A18" s="84"/>
      <c r="B18" s="93"/>
      <c r="C18" s="107">
        <f>(PBW!$C$183)</f>
        <v>0</v>
      </c>
      <c r="D18" s="174" t="s">
        <v>42</v>
      </c>
      <c r="E18" s="83"/>
      <c r="F18" s="84"/>
      <c r="G18" s="83"/>
      <c r="H18" s="188"/>
      <c r="I18" s="182">
        <f>(PBW!$H$170)</f>
        <v>0</v>
      </c>
      <c r="J18" s="87"/>
      <c r="K18" s="183" t="s">
        <v>147</v>
      </c>
      <c r="L18" s="87"/>
      <c r="M18" s="87"/>
      <c r="N18" s="87"/>
      <c r="O18" s="87"/>
      <c r="P18" s="1"/>
      <c r="Q18" s="1"/>
      <c r="R18" s="1"/>
      <c r="S18" s="1"/>
      <c r="T18" s="1"/>
      <c r="U18" s="1"/>
    </row>
    <row r="19" spans="1:21">
      <c r="A19" s="84"/>
      <c r="B19" s="93"/>
      <c r="C19" s="192"/>
      <c r="D19" s="83"/>
      <c r="E19" s="83"/>
      <c r="F19" s="84"/>
      <c r="G19" s="83"/>
      <c r="H19" s="188"/>
      <c r="I19" s="83"/>
      <c r="J19" s="83"/>
      <c r="K19" s="83"/>
      <c r="L19" s="83"/>
      <c r="M19" s="83"/>
      <c r="N19" s="83"/>
      <c r="O19" s="83"/>
      <c r="P19" s="1"/>
      <c r="Q19" s="1"/>
      <c r="R19" s="1"/>
      <c r="S19" s="1"/>
      <c r="T19" s="1"/>
      <c r="U19" s="1"/>
    </row>
    <row r="20" spans="1:21" ht="13">
      <c r="A20" s="84"/>
      <c r="B20" s="93"/>
      <c r="C20" s="107">
        <f>(PBW!$C$184)</f>
        <v>0</v>
      </c>
      <c r="D20" s="174" t="s">
        <v>40</v>
      </c>
      <c r="E20" s="83"/>
      <c r="F20" s="84"/>
      <c r="G20" s="83"/>
      <c r="H20" s="188"/>
      <c r="I20" s="513" t="s">
        <v>148</v>
      </c>
      <c r="J20" s="514"/>
      <c r="K20" s="514"/>
      <c r="L20" s="514"/>
      <c r="M20" s="514"/>
      <c r="N20" s="514"/>
      <c r="O20" s="514"/>
      <c r="P20" s="1"/>
      <c r="Q20" s="1"/>
      <c r="R20" s="1"/>
      <c r="S20" s="1"/>
      <c r="T20" s="1"/>
      <c r="U20" s="1"/>
    </row>
    <row r="21" spans="1:21">
      <c r="A21" s="83"/>
      <c r="B21" s="83"/>
      <c r="C21" s="107">
        <f>(PBW!$C$185)</f>
        <v>0</v>
      </c>
      <c r="D21" s="174" t="s">
        <v>39</v>
      </c>
      <c r="E21" s="83"/>
      <c r="F21" s="83"/>
      <c r="G21" s="83"/>
      <c r="H21" s="83"/>
      <c r="I21" s="178">
        <f>(PBW!$E$142)</f>
        <v>0</v>
      </c>
      <c r="J21" s="184">
        <f>(PBW!$C$142)</f>
        <v>0</v>
      </c>
      <c r="K21" s="179" t="s">
        <v>149</v>
      </c>
      <c r="L21" s="179"/>
      <c r="M21" s="179"/>
      <c r="N21" s="179"/>
      <c r="O21" s="179"/>
      <c r="P21" s="1"/>
      <c r="Q21" s="1"/>
      <c r="R21" s="1"/>
      <c r="S21" s="1"/>
      <c r="T21" s="1"/>
      <c r="U21" s="1"/>
    </row>
    <row r="22" spans="1:21" ht="13" thickBot="1">
      <c r="A22" s="99"/>
      <c r="B22" s="99"/>
      <c r="C22" s="99"/>
      <c r="D22" s="99"/>
      <c r="E22" s="99"/>
      <c r="F22" s="99"/>
      <c r="G22" s="99"/>
      <c r="H22" s="99"/>
      <c r="I22" s="190">
        <f>(PBW!$E$144)</f>
        <v>0</v>
      </c>
      <c r="J22" s="184">
        <f>(PBW!$C$144)</f>
        <v>0</v>
      </c>
      <c r="K22" s="179" t="s">
        <v>150</v>
      </c>
      <c r="L22" s="179"/>
      <c r="M22" s="179"/>
      <c r="N22" s="179"/>
      <c r="O22" s="179"/>
      <c r="P22" s="1"/>
      <c r="Q22" s="1"/>
      <c r="R22" s="1"/>
      <c r="S22" s="1"/>
      <c r="T22" s="1"/>
      <c r="U22" s="1"/>
    </row>
    <row r="23" spans="1:21" ht="13" thickBot="1">
      <c r="A23" s="83"/>
      <c r="B23" s="193"/>
      <c r="C23" s="193"/>
      <c r="D23" s="83"/>
      <c r="E23" s="83"/>
      <c r="F23" s="83"/>
      <c r="G23" s="83"/>
      <c r="H23" s="83"/>
      <c r="I23" s="182">
        <f>(PBW!$H$139)</f>
        <v>0</v>
      </c>
      <c r="J23" s="87"/>
      <c r="K23" s="183" t="s">
        <v>151</v>
      </c>
      <c r="L23" s="179"/>
      <c r="M23" s="179"/>
      <c r="N23" s="179"/>
      <c r="O23" s="179"/>
      <c r="P23" s="1"/>
      <c r="Q23" s="1"/>
      <c r="R23" s="1"/>
      <c r="S23" s="1"/>
      <c r="T23" s="1"/>
      <c r="U23" s="1"/>
    </row>
    <row r="24" spans="1:21" ht="13" thickBot="1">
      <c r="A24" s="194" t="s">
        <v>66</v>
      </c>
      <c r="B24" s="195"/>
      <c r="C24" s="195"/>
      <c r="D24" s="196"/>
      <c r="E24" s="196"/>
      <c r="F24" s="196"/>
      <c r="G24" s="327"/>
      <c r="H24" s="197">
        <f>(TOTCONST)</f>
        <v>0</v>
      </c>
      <c r="I24" s="179"/>
      <c r="J24" s="83"/>
      <c r="K24" s="179"/>
      <c r="L24" s="179"/>
      <c r="M24" s="179"/>
      <c r="N24" s="179"/>
      <c r="O24" s="179"/>
      <c r="P24" s="1"/>
      <c r="Q24" s="1"/>
      <c r="R24" s="1"/>
      <c r="S24" s="1"/>
      <c r="T24" s="1"/>
      <c r="U24" s="1"/>
    </row>
    <row r="25" spans="1:21">
      <c r="A25" s="118" t="s">
        <v>65</v>
      </c>
      <c r="B25" s="193"/>
      <c r="C25" s="193"/>
      <c r="D25" s="83"/>
      <c r="E25" s="83"/>
      <c r="F25" s="83"/>
      <c r="G25" s="328"/>
      <c r="H25" s="111">
        <f>(TOTCONST-PBW!$H$119)</f>
        <v>0</v>
      </c>
      <c r="I25" s="178">
        <f>(PBW!$E$147)</f>
        <v>0</v>
      </c>
      <c r="J25" s="184">
        <f>(PBW!$C$147)</f>
        <v>0</v>
      </c>
      <c r="K25" s="179" t="s">
        <v>152</v>
      </c>
      <c r="L25" s="179"/>
      <c r="M25" s="179"/>
      <c r="N25" s="179"/>
      <c r="O25" s="179"/>
      <c r="P25" s="1"/>
      <c r="Q25" s="1"/>
      <c r="R25" s="1"/>
      <c r="S25" s="1"/>
      <c r="T25" s="1"/>
      <c r="U25" s="1"/>
    </row>
    <row r="26" spans="1:21">
      <c r="A26" s="118" t="s">
        <v>61</v>
      </c>
      <c r="B26" s="193"/>
      <c r="C26" s="193"/>
      <c r="D26" s="83"/>
      <c r="E26" s="83"/>
      <c r="F26" s="83"/>
      <c r="G26" s="328"/>
      <c r="H26" s="111">
        <f>(PBW!$H$119)</f>
        <v>0</v>
      </c>
      <c r="I26" s="178">
        <f>(PBW!$E$148)</f>
        <v>0</v>
      </c>
      <c r="J26" s="83"/>
      <c r="K26" s="179" t="s">
        <v>153</v>
      </c>
      <c r="L26" s="179"/>
      <c r="M26" s="179"/>
      <c r="N26" s="179"/>
      <c r="O26" s="179"/>
      <c r="P26" s="1"/>
      <c r="Q26" s="1"/>
      <c r="R26" s="1"/>
      <c r="S26" s="1"/>
      <c r="T26" s="1"/>
      <c r="U26" s="1"/>
    </row>
    <row r="27" spans="1:21" ht="13" thickBot="1">
      <c r="A27" s="84"/>
      <c r="B27" s="198"/>
      <c r="C27" s="198"/>
      <c r="D27" s="83"/>
      <c r="E27" s="83"/>
      <c r="F27" s="83"/>
      <c r="G27" s="328"/>
      <c r="H27" s="111"/>
      <c r="I27" s="178">
        <f>(PBW!$E$149)</f>
        <v>0</v>
      </c>
      <c r="J27" s="184">
        <f>(PBW!$C$149)</f>
        <v>0</v>
      </c>
      <c r="K27" s="179" t="s">
        <v>154</v>
      </c>
      <c r="L27" s="179"/>
      <c r="M27" s="179"/>
      <c r="N27" s="179"/>
      <c r="O27" s="179"/>
      <c r="P27" s="1"/>
      <c r="Q27" s="1"/>
      <c r="R27" s="1"/>
      <c r="S27" s="1"/>
      <c r="T27" s="1"/>
      <c r="U27" s="1"/>
    </row>
    <row r="28" spans="1:21" ht="13" thickBot="1">
      <c r="A28" s="194" t="s">
        <v>69</v>
      </c>
      <c r="B28" s="196"/>
      <c r="C28" s="196"/>
      <c r="D28" s="196"/>
      <c r="E28" s="196"/>
      <c r="F28" s="196"/>
      <c r="G28" s="329" t="str">
        <f>IF($H$24=0,"",($H$28/$H$24))</f>
        <v/>
      </c>
      <c r="H28" s="197">
        <f>SUM(PBW!$H$139,PBW!$H$146)</f>
        <v>0</v>
      </c>
      <c r="I28" s="178">
        <f>(PBW!$E$150)</f>
        <v>0</v>
      </c>
      <c r="J28" s="83"/>
      <c r="K28" s="179" t="s">
        <v>155</v>
      </c>
      <c r="L28" s="179"/>
      <c r="M28" s="179"/>
      <c r="N28" s="179"/>
      <c r="O28" s="179"/>
      <c r="P28" s="1"/>
      <c r="Q28" s="1"/>
      <c r="R28" s="1"/>
      <c r="S28" s="1"/>
      <c r="T28" s="1"/>
      <c r="U28" s="1"/>
    </row>
    <row r="29" spans="1:21">
      <c r="A29" s="118" t="s">
        <v>67</v>
      </c>
      <c r="B29" s="199"/>
      <c r="C29" s="198"/>
      <c r="D29" s="200"/>
      <c r="E29" s="83"/>
      <c r="F29" s="83"/>
      <c r="G29" s="330" t="str">
        <f>IF($H$24=0,"",($H$29/$H$24))</f>
        <v/>
      </c>
      <c r="H29" s="111">
        <f>(PBW!$H$139)</f>
        <v>0</v>
      </c>
      <c r="I29" s="178">
        <f>(PBW!$E$151)</f>
        <v>0</v>
      </c>
      <c r="J29" s="83"/>
      <c r="K29" s="179" t="s">
        <v>156</v>
      </c>
      <c r="L29" s="179"/>
      <c r="M29" s="179"/>
      <c r="N29" s="179"/>
      <c r="O29" s="179"/>
      <c r="P29" s="1"/>
      <c r="Q29" s="1"/>
      <c r="R29" s="1"/>
      <c r="S29" s="1"/>
      <c r="T29" s="1"/>
      <c r="U29" s="1"/>
    </row>
    <row r="30" spans="1:21">
      <c r="A30" s="118" t="s">
        <v>68</v>
      </c>
      <c r="B30" s="199"/>
      <c r="C30" s="193"/>
      <c r="D30" s="200"/>
      <c r="E30" s="201"/>
      <c r="F30" s="83"/>
      <c r="G30" s="331" t="str">
        <f>IF($H$24=0,"",($H$30/$H$24))</f>
        <v/>
      </c>
      <c r="H30" s="111">
        <f>(PBW!$H$146)</f>
        <v>0</v>
      </c>
      <c r="I30" s="178">
        <f>(PBW!$E$152)</f>
        <v>0</v>
      </c>
      <c r="J30" s="83"/>
      <c r="K30" s="179" t="s">
        <v>157</v>
      </c>
      <c r="L30" s="179"/>
      <c r="M30" s="179"/>
      <c r="N30" s="179"/>
      <c r="O30" s="179"/>
      <c r="P30" s="1"/>
      <c r="Q30" s="1"/>
      <c r="R30" s="1"/>
      <c r="S30" s="1"/>
      <c r="T30" s="1"/>
      <c r="U30" s="1"/>
    </row>
    <row r="31" spans="1:21" ht="13" thickBot="1">
      <c r="A31" s="85"/>
      <c r="B31" s="83"/>
      <c r="C31" s="83"/>
      <c r="D31" s="83"/>
      <c r="E31" s="83"/>
      <c r="F31" s="83"/>
      <c r="G31" s="328"/>
      <c r="H31" s="147"/>
      <c r="I31" s="190">
        <f>SUM(PBW!$E$153:$E$156)</f>
        <v>0</v>
      </c>
      <c r="J31" s="83"/>
      <c r="K31" s="179" t="s">
        <v>158</v>
      </c>
      <c r="L31" s="179"/>
      <c r="M31" s="179"/>
      <c r="N31" s="179"/>
      <c r="O31" s="179"/>
      <c r="P31" s="1"/>
      <c r="Q31" s="1"/>
      <c r="R31" s="1"/>
      <c r="S31" s="1"/>
      <c r="T31" s="1"/>
      <c r="U31" s="1"/>
    </row>
    <row r="32" spans="1:21" ht="13" thickBot="1">
      <c r="A32" s="194" t="s">
        <v>70</v>
      </c>
      <c r="B32" s="202"/>
      <c r="C32" s="196"/>
      <c r="D32" s="196"/>
      <c r="E32" s="196"/>
      <c r="F32" s="196"/>
      <c r="G32" s="329" t="str">
        <f>IF($H$24=0,"",($H$32/$H$24))</f>
        <v/>
      </c>
      <c r="H32" s="197">
        <f>(PBW!$H$166)</f>
        <v>0</v>
      </c>
      <c r="I32" s="182">
        <f>(PBW!$H$146)</f>
        <v>0</v>
      </c>
      <c r="J32" s="87"/>
      <c r="K32" s="183" t="s">
        <v>159</v>
      </c>
      <c r="L32" s="183"/>
      <c r="M32" s="183"/>
      <c r="N32" s="183"/>
      <c r="O32" s="183"/>
      <c r="P32" s="1"/>
      <c r="Q32" s="1"/>
      <c r="R32" s="1"/>
      <c r="S32" s="1"/>
      <c r="T32" s="1"/>
      <c r="U32" s="1"/>
    </row>
    <row r="33" spans="1:21" ht="13" thickBot="1">
      <c r="A33" s="203"/>
      <c r="B33" s="204"/>
      <c r="C33" s="83"/>
      <c r="D33" s="83"/>
      <c r="E33" s="83"/>
      <c r="F33" s="83"/>
      <c r="G33" s="328"/>
      <c r="H33" s="147"/>
      <c r="I33" s="83"/>
      <c r="J33" s="83"/>
      <c r="K33" s="83"/>
      <c r="L33" s="83"/>
      <c r="M33" s="83"/>
      <c r="N33" s="83"/>
      <c r="O33" s="83"/>
      <c r="P33" s="1"/>
      <c r="Q33" s="1"/>
      <c r="R33" s="1"/>
      <c r="S33" s="1"/>
      <c r="T33" s="1"/>
      <c r="U33" s="1"/>
    </row>
    <row r="34" spans="1:21" ht="13" thickBot="1">
      <c r="A34" s="194" t="s">
        <v>71</v>
      </c>
      <c r="B34" s="202"/>
      <c r="C34" s="196"/>
      <c r="D34" s="196"/>
      <c r="E34" s="196"/>
      <c r="F34" s="196"/>
      <c r="G34" s="329" t="str">
        <f>IF($H$24=0,"",($H$34/$H$24))</f>
        <v/>
      </c>
      <c r="H34" s="197">
        <f>(PBW!$H$168)</f>
        <v>0</v>
      </c>
      <c r="I34" s="83"/>
      <c r="J34" s="83"/>
      <c r="K34" s="83"/>
      <c r="L34" s="83"/>
      <c r="M34" s="83"/>
      <c r="N34" s="83"/>
      <c r="O34" s="83"/>
      <c r="P34" s="1"/>
      <c r="Q34" s="1"/>
      <c r="R34" s="1"/>
      <c r="S34" s="1"/>
      <c r="T34" s="1"/>
      <c r="U34" s="1"/>
    </row>
    <row r="35" spans="1:21" ht="13" thickBot="1">
      <c r="A35" s="85"/>
      <c r="B35" s="83"/>
      <c r="C35" s="83"/>
      <c r="D35" s="83"/>
      <c r="E35" s="83"/>
      <c r="F35" s="83"/>
      <c r="G35" s="328"/>
      <c r="H35" s="111"/>
      <c r="I35" s="83"/>
      <c r="J35" s="83"/>
      <c r="K35" s="83"/>
      <c r="L35" s="83"/>
      <c r="M35" s="83"/>
      <c r="N35" s="83"/>
      <c r="O35" s="83"/>
      <c r="P35" s="1"/>
      <c r="Q35" s="1"/>
      <c r="R35" s="1"/>
      <c r="S35" s="1"/>
      <c r="T35" s="1"/>
      <c r="U35" s="1"/>
    </row>
    <row r="36" spans="1:21" ht="13" thickBot="1">
      <c r="A36" s="194" t="s">
        <v>91</v>
      </c>
      <c r="B36" s="196"/>
      <c r="C36" s="196"/>
      <c r="D36" s="196"/>
      <c r="E36" s="196"/>
      <c r="F36" s="196"/>
      <c r="G36" s="329" t="str">
        <f>IF($H$24=0,"",($H$36/$H$24))</f>
        <v/>
      </c>
      <c r="H36" s="197">
        <f>(PBW!$H$170)</f>
        <v>0</v>
      </c>
      <c r="I36" s="83"/>
      <c r="J36" s="83"/>
      <c r="K36" s="83"/>
      <c r="L36" s="83"/>
      <c r="M36" s="83"/>
      <c r="N36" s="83"/>
      <c r="O36" s="83"/>
      <c r="P36" s="1"/>
      <c r="Q36" s="1"/>
      <c r="R36" s="1"/>
      <c r="S36" s="1"/>
      <c r="T36" s="1"/>
      <c r="U36" s="1"/>
    </row>
    <row r="37" spans="1:21">
      <c r="A37" s="118" t="s">
        <v>92</v>
      </c>
      <c r="B37" s="199"/>
      <c r="C37" s="83"/>
      <c r="D37" s="200"/>
      <c r="E37" s="83"/>
      <c r="F37" s="83"/>
      <c r="G37" s="331" t="str">
        <f>IF($H$24=0,"",($H$37/$H$24))</f>
        <v/>
      </c>
      <c r="H37" s="111">
        <f>(PBW!$G$158)</f>
        <v>0</v>
      </c>
      <c r="I37" s="83"/>
      <c r="J37" s="83"/>
      <c r="K37" s="83"/>
      <c r="L37" s="83"/>
      <c r="M37" s="83"/>
      <c r="N37" s="83"/>
      <c r="O37" s="83"/>
      <c r="P37" s="1"/>
      <c r="Q37" s="1"/>
      <c r="R37" s="1"/>
      <c r="S37" s="1"/>
      <c r="T37" s="1"/>
      <c r="U37" s="1"/>
    </row>
    <row r="38" spans="1:21">
      <c r="A38" s="118" t="s">
        <v>93</v>
      </c>
      <c r="B38" s="91"/>
      <c r="C38" s="83"/>
      <c r="D38" s="200"/>
      <c r="E38" s="83"/>
      <c r="F38" s="83"/>
      <c r="G38" s="331" t="str">
        <f>IF($H$24=0,"",($H$38/$H$24))</f>
        <v/>
      </c>
      <c r="H38" s="111">
        <f>(PBW!$G$172)</f>
        <v>0</v>
      </c>
      <c r="I38" s="83"/>
      <c r="J38" s="83"/>
      <c r="K38" s="83"/>
      <c r="L38" s="83"/>
      <c r="M38" s="83"/>
      <c r="N38" s="83"/>
      <c r="O38" s="83"/>
      <c r="P38" s="1"/>
      <c r="Q38" s="1"/>
      <c r="R38" s="1"/>
      <c r="S38" s="1"/>
      <c r="T38" s="1"/>
      <c r="U38" s="1"/>
    </row>
    <row r="39" spans="1:21" ht="13" thickBot="1">
      <c r="A39" s="85"/>
      <c r="B39" s="83"/>
      <c r="C39" s="83"/>
      <c r="D39" s="83"/>
      <c r="E39" s="83"/>
      <c r="F39" s="83"/>
      <c r="G39" s="328"/>
      <c r="H39" s="147"/>
      <c r="I39" s="83"/>
      <c r="J39" s="83"/>
      <c r="K39" s="83"/>
      <c r="L39" s="83"/>
      <c r="M39" s="83"/>
      <c r="N39" s="83"/>
      <c r="O39" s="83"/>
      <c r="P39" s="1"/>
      <c r="Q39" s="1"/>
      <c r="R39" s="1"/>
      <c r="S39" s="1"/>
      <c r="T39" s="1"/>
      <c r="U39" s="1"/>
    </row>
    <row r="40" spans="1:21" ht="13" thickBot="1">
      <c r="A40" s="194" t="s">
        <v>72</v>
      </c>
      <c r="B40" s="196"/>
      <c r="C40" s="196"/>
      <c r="D40" s="196"/>
      <c r="E40" s="196"/>
      <c r="F40" s="194"/>
      <c r="G40" s="332"/>
      <c r="H40" s="197">
        <f>SUM(H$24,H$28,H$32,H$34,$H$36)</f>
        <v>0</v>
      </c>
      <c r="I40" s="83"/>
      <c r="J40" s="83"/>
      <c r="K40" s="83"/>
      <c r="L40" s="83"/>
      <c r="M40" s="83"/>
      <c r="N40" s="83"/>
      <c r="O40" s="83"/>
      <c r="P40" s="1"/>
      <c r="Q40" s="1"/>
      <c r="R40" s="1"/>
      <c r="S40" s="1"/>
      <c r="T40" s="1"/>
      <c r="U40" s="1"/>
    </row>
    <row r="41" spans="1:21">
      <c r="A41" s="83"/>
      <c r="B41" s="83"/>
      <c r="C41" s="83"/>
      <c r="D41" s="83"/>
      <c r="E41" s="83"/>
      <c r="F41" s="83"/>
      <c r="G41" s="83"/>
      <c r="H41" s="83"/>
      <c r="I41" s="83"/>
      <c r="J41" s="83"/>
      <c r="K41" s="83"/>
      <c r="L41" s="83"/>
      <c r="M41" s="83"/>
      <c r="N41" s="83"/>
      <c r="O41" s="83"/>
      <c r="P41" s="1"/>
      <c r="Q41" s="1"/>
      <c r="R41" s="1"/>
      <c r="S41" s="1"/>
      <c r="T41" s="1"/>
      <c r="U41" s="1"/>
    </row>
    <row r="42" spans="1:21" ht="13" thickBot="1">
      <c r="A42" s="99"/>
      <c r="B42" s="99"/>
      <c r="C42" s="99"/>
      <c r="D42" s="99"/>
      <c r="E42" s="99"/>
      <c r="F42" s="99"/>
      <c r="G42" s="99"/>
      <c r="H42" s="99"/>
      <c r="I42" s="83"/>
      <c r="J42" s="83"/>
      <c r="K42" s="83"/>
      <c r="L42" s="83"/>
      <c r="M42" s="83"/>
      <c r="N42" s="83"/>
      <c r="O42" s="83"/>
      <c r="P42" s="1"/>
      <c r="Q42" s="1"/>
      <c r="R42" s="1"/>
      <c r="S42" s="1"/>
      <c r="T42" s="1"/>
      <c r="U42" s="1"/>
    </row>
    <row r="43" spans="1:21">
      <c r="A43" s="83"/>
      <c r="B43" s="83"/>
      <c r="C43" s="83"/>
      <c r="D43" s="83"/>
      <c r="E43" s="83"/>
      <c r="F43" s="83"/>
      <c r="G43" s="83"/>
      <c r="H43" s="83"/>
      <c r="I43" s="83"/>
      <c r="J43" s="83"/>
      <c r="K43" s="83"/>
      <c r="L43" s="83"/>
      <c r="M43" s="83"/>
      <c r="N43" s="83"/>
      <c r="O43" s="83"/>
      <c r="P43" s="1"/>
      <c r="Q43" s="1"/>
      <c r="R43" s="1"/>
      <c r="S43" s="1"/>
      <c r="T43" s="1"/>
      <c r="U43" s="1"/>
    </row>
    <row r="44" spans="1:21">
      <c r="A44" s="83"/>
      <c r="B44" s="83"/>
      <c r="C44" s="83"/>
      <c r="D44" s="83"/>
      <c r="E44" s="83"/>
      <c r="F44" s="83"/>
      <c r="G44" s="83"/>
      <c r="H44" s="83"/>
      <c r="I44" s="83"/>
      <c r="J44" s="83"/>
      <c r="K44" s="83"/>
      <c r="L44" s="83"/>
      <c r="M44" s="83"/>
      <c r="N44" s="83"/>
      <c r="O44" s="83"/>
      <c r="P44" s="1"/>
      <c r="Q44" s="1"/>
      <c r="R44" s="1"/>
      <c r="S44" s="1"/>
      <c r="T44" s="1"/>
      <c r="U44" s="1"/>
    </row>
    <row r="45" spans="1:21" ht="12" customHeight="1">
      <c r="A45" s="83"/>
      <c r="B45" s="83"/>
      <c r="C45" s="83"/>
      <c r="D45" s="83"/>
      <c r="E45" s="83"/>
      <c r="F45" s="83"/>
      <c r="G45" s="83"/>
      <c r="H45" s="83"/>
      <c r="I45" s="366"/>
      <c r="J45" s="366"/>
      <c r="K45" s="83"/>
      <c r="L45" s="83"/>
      <c r="M45" s="83"/>
      <c r="N45" s="83"/>
      <c r="O45" s="83"/>
      <c r="P45" s="1"/>
      <c r="Q45" s="1"/>
      <c r="R45" s="1"/>
      <c r="S45" s="1"/>
      <c r="T45" s="1"/>
      <c r="U45" s="1"/>
    </row>
    <row r="46" spans="1:21">
      <c r="A46" s="511" t="s">
        <v>123</v>
      </c>
      <c r="B46" s="511"/>
      <c r="C46" s="511"/>
      <c r="D46" s="511"/>
      <c r="E46" s="83"/>
      <c r="F46" s="512" t="s">
        <v>126</v>
      </c>
      <c r="G46" s="512"/>
      <c r="H46" s="512"/>
      <c r="I46" s="517" t="s">
        <v>350</v>
      </c>
      <c r="J46" s="517"/>
      <c r="K46" s="83"/>
      <c r="L46" s="83"/>
      <c r="M46" s="83"/>
      <c r="N46" s="83"/>
      <c r="O46" s="83"/>
      <c r="P46" s="1"/>
      <c r="Q46" s="1"/>
      <c r="R46" s="1"/>
      <c r="S46" s="1"/>
      <c r="T46" s="1"/>
      <c r="U46" s="1"/>
    </row>
    <row r="47" spans="1:21" ht="13">
      <c r="A47" s="205"/>
      <c r="B47" s="205"/>
      <c r="C47" s="205"/>
      <c r="D47" s="205"/>
      <c r="E47" s="83"/>
      <c r="F47" s="83"/>
      <c r="G47" s="83"/>
      <c r="H47" s="206" t="str">
        <f>(PBW!$G$135)</f>
        <v>NORMAL</v>
      </c>
      <c r="I47" s="206" t="str">
        <f>(PBW_ALTERNATE!$G$135)</f>
        <v>NO INFLATION</v>
      </c>
      <c r="J47" s="206"/>
      <c r="K47" s="83"/>
      <c r="L47" s="83"/>
      <c r="M47" s="83"/>
      <c r="N47" s="83"/>
      <c r="O47" s="83"/>
      <c r="P47" s="1"/>
      <c r="Q47" s="1"/>
      <c r="R47" s="1"/>
      <c r="S47" s="1"/>
      <c r="T47" s="1"/>
      <c r="U47" s="1"/>
    </row>
    <row r="48" spans="1:21" ht="12.75" customHeight="1">
      <c r="A48" s="207" t="s">
        <v>113</v>
      </c>
      <c r="B48" s="208"/>
      <c r="C48" s="209" t="s">
        <v>122</v>
      </c>
      <c r="D48" s="210">
        <f>($H$25)</f>
        <v>0</v>
      </c>
      <c r="E48" s="160" t="s">
        <v>131</v>
      </c>
      <c r="F48" s="84" t="s">
        <v>113</v>
      </c>
      <c r="G48" s="129" t="s">
        <v>122</v>
      </c>
      <c r="H48" s="210">
        <f>($H$24)</f>
        <v>0</v>
      </c>
      <c r="I48" s="211">
        <f>(PBW_ALTERNATE!$H$124)</f>
        <v>0</v>
      </c>
      <c r="J48" s="212"/>
      <c r="K48" s="83"/>
      <c r="L48" s="83"/>
      <c r="M48" s="83"/>
      <c r="N48" s="83"/>
      <c r="O48" s="83"/>
      <c r="P48" s="1"/>
      <c r="Q48" s="1"/>
      <c r="R48" s="1"/>
      <c r="S48" s="1"/>
      <c r="T48" s="1"/>
      <c r="U48" s="1"/>
    </row>
    <row r="49" spans="1:21" ht="12.75" customHeight="1">
      <c r="A49" s="207" t="s">
        <v>112</v>
      </c>
      <c r="B49" s="208"/>
      <c r="C49" s="209" t="s">
        <v>122</v>
      </c>
      <c r="D49" s="210">
        <f>($H$26)</f>
        <v>0</v>
      </c>
      <c r="E49" s="160" t="s">
        <v>129</v>
      </c>
      <c r="F49" s="84" t="s">
        <v>124</v>
      </c>
      <c r="G49" s="129" t="s">
        <v>122</v>
      </c>
      <c r="H49" s="210">
        <f>($H$28)</f>
        <v>0</v>
      </c>
      <c r="I49" s="211">
        <f>(PBW_ALTERNATE!$H$139+PBW_ALTERNATE!$H$146)</f>
        <v>0</v>
      </c>
      <c r="J49" s="212"/>
      <c r="K49" s="83"/>
      <c r="L49" s="83"/>
      <c r="M49" s="83"/>
      <c r="N49" s="83"/>
      <c r="O49" s="83"/>
      <c r="P49" s="1"/>
      <c r="Q49" s="1"/>
      <c r="R49" s="1"/>
      <c r="S49" s="1"/>
      <c r="T49" s="1"/>
      <c r="U49" s="1"/>
    </row>
    <row r="50" spans="1:21" ht="12.75" customHeight="1">
      <c r="A50" s="213" t="s">
        <v>114</v>
      </c>
      <c r="B50" s="214"/>
      <c r="C50" s="215" t="s">
        <v>122</v>
      </c>
      <c r="D50" s="216">
        <f>($H$24)</f>
        <v>0</v>
      </c>
      <c r="E50" s="160" t="s">
        <v>130</v>
      </c>
      <c r="F50" s="84" t="s">
        <v>311</v>
      </c>
      <c r="G50" s="129" t="s">
        <v>122</v>
      </c>
      <c r="H50" s="210">
        <f>($H$34)</f>
        <v>0</v>
      </c>
      <c r="I50" s="211">
        <f>(PBW_ALTERNATE!$H$168)</f>
        <v>0</v>
      </c>
      <c r="J50" s="212"/>
      <c r="K50" s="83"/>
      <c r="L50" s="83"/>
      <c r="M50" s="83"/>
      <c r="N50" s="83"/>
      <c r="O50" s="83"/>
      <c r="P50" s="1"/>
      <c r="Q50" s="1"/>
      <c r="R50" s="1"/>
      <c r="S50" s="1"/>
      <c r="T50" s="1"/>
      <c r="U50" s="1"/>
    </row>
    <row r="51" spans="1:21" ht="12.75" customHeight="1">
      <c r="A51" s="207" t="s">
        <v>115</v>
      </c>
      <c r="B51" s="208" t="str">
        <f>($G$29)</f>
        <v/>
      </c>
      <c r="C51" s="209" t="s">
        <v>122</v>
      </c>
      <c r="D51" s="210">
        <f>($H$29)</f>
        <v>0</v>
      </c>
      <c r="E51" s="160" t="s">
        <v>128</v>
      </c>
      <c r="F51" s="84" t="s">
        <v>118</v>
      </c>
      <c r="G51" s="129" t="s">
        <v>122</v>
      </c>
      <c r="H51" s="210">
        <f>($H$32)</f>
        <v>0</v>
      </c>
      <c r="I51" s="211">
        <f>(PBW_ALTERNATE!$H$166)</f>
        <v>0</v>
      </c>
      <c r="J51" s="212"/>
      <c r="K51" s="83"/>
      <c r="L51" s="83"/>
      <c r="M51" s="83"/>
      <c r="N51" s="83"/>
      <c r="O51" s="83"/>
      <c r="P51" s="1"/>
      <c r="Q51" s="1"/>
      <c r="R51" s="1"/>
      <c r="S51" s="1"/>
      <c r="T51" s="1"/>
      <c r="U51" s="1"/>
    </row>
    <row r="52" spans="1:21" ht="12.75" customHeight="1">
      <c r="A52" s="207" t="s">
        <v>116</v>
      </c>
      <c r="B52" s="208" t="str">
        <f>($G$30)</f>
        <v/>
      </c>
      <c r="C52" s="209" t="s">
        <v>122</v>
      </c>
      <c r="D52" s="210">
        <f>($H$30)</f>
        <v>0</v>
      </c>
      <c r="E52" s="160" t="s">
        <v>132</v>
      </c>
      <c r="F52" s="84" t="s">
        <v>313</v>
      </c>
      <c r="G52" s="129" t="s">
        <v>122</v>
      </c>
      <c r="H52" s="210">
        <f>($H$36)</f>
        <v>0</v>
      </c>
      <c r="I52" s="211">
        <f>(PBW_ALTERNATE!$H$170)</f>
        <v>0</v>
      </c>
      <c r="J52" s="212"/>
      <c r="K52" s="83"/>
      <c r="L52" s="83"/>
      <c r="M52" s="83"/>
      <c r="N52" s="83"/>
      <c r="O52" s="83"/>
      <c r="P52" s="1"/>
      <c r="Q52" s="1"/>
      <c r="R52" s="1"/>
      <c r="S52" s="1"/>
      <c r="T52" s="1"/>
      <c r="U52" s="1"/>
    </row>
    <row r="53" spans="1:21" ht="12.75" customHeight="1">
      <c r="A53" s="213" t="s">
        <v>117</v>
      </c>
      <c r="B53" s="214" t="str">
        <f>($G$28)</f>
        <v/>
      </c>
      <c r="C53" s="215" t="s">
        <v>122</v>
      </c>
      <c r="D53" s="216">
        <f>($H$28)</f>
        <v>0</v>
      </c>
      <c r="E53" s="160"/>
      <c r="F53" s="84" t="s">
        <v>314</v>
      </c>
      <c r="G53" s="129" t="s">
        <v>122</v>
      </c>
      <c r="H53" s="210">
        <f>($I$53)</f>
        <v>0</v>
      </c>
      <c r="I53" s="211">
        <f>($H$54-$I$54)</f>
        <v>0</v>
      </c>
      <c r="J53" s="212"/>
      <c r="K53" s="83"/>
      <c r="L53" s="83"/>
      <c r="M53" s="83"/>
      <c r="N53" s="83"/>
      <c r="O53" s="83"/>
      <c r="P53" s="1"/>
      <c r="Q53" s="1"/>
      <c r="R53" s="1"/>
      <c r="S53" s="1"/>
      <c r="T53" s="1"/>
      <c r="U53" s="1"/>
    </row>
    <row r="54" spans="1:21" ht="12.75" customHeight="1">
      <c r="A54" s="207" t="s">
        <v>118</v>
      </c>
      <c r="B54" s="208" t="str">
        <f>($G$32)</f>
        <v/>
      </c>
      <c r="C54" s="209" t="s">
        <v>122</v>
      </c>
      <c r="D54" s="210">
        <f>($H$32)</f>
        <v>0</v>
      </c>
      <c r="E54" s="160"/>
      <c r="F54" s="85" t="s">
        <v>125</v>
      </c>
      <c r="G54" s="130" t="s">
        <v>122</v>
      </c>
      <c r="H54" s="216">
        <f>($H$40)</f>
        <v>0</v>
      </c>
      <c r="I54" s="217">
        <f>(PBW_ALTERNATE!$H$180)</f>
        <v>0</v>
      </c>
      <c r="J54" s="218"/>
      <c r="K54" s="83"/>
      <c r="L54" s="83"/>
      <c r="M54" s="83"/>
      <c r="N54" s="83"/>
      <c r="O54" s="83"/>
      <c r="P54" s="1"/>
      <c r="Q54" s="1"/>
      <c r="R54" s="1"/>
      <c r="S54" s="1"/>
      <c r="T54" s="1"/>
      <c r="U54" s="1"/>
    </row>
    <row r="55" spans="1:21" ht="14">
      <c r="A55" s="207" t="s">
        <v>119</v>
      </c>
      <c r="B55" s="208" t="str">
        <f>IF($H$24=0,"",(SUM($H$34,$H$32)/$H$24))</f>
        <v/>
      </c>
      <c r="C55" s="209" t="s">
        <v>122</v>
      </c>
      <c r="D55" s="210">
        <f>($H$34)</f>
        <v>0</v>
      </c>
      <c r="E55" s="83"/>
      <c r="F55" s="100"/>
      <c r="G55" s="83"/>
      <c r="H55" s="83"/>
      <c r="I55" s="83"/>
      <c r="J55" s="83"/>
      <c r="K55" s="83"/>
      <c r="L55" s="83"/>
      <c r="M55" s="83"/>
      <c r="N55" s="83"/>
      <c r="O55" s="83"/>
      <c r="P55" s="1"/>
      <c r="Q55" s="1"/>
      <c r="R55" s="1"/>
      <c r="S55" s="1"/>
      <c r="T55" s="1"/>
      <c r="U55" s="1"/>
    </row>
    <row r="56" spans="1:21" ht="14">
      <c r="A56" s="207" t="s">
        <v>120</v>
      </c>
      <c r="B56" s="208" t="str">
        <f>($G$36)</f>
        <v/>
      </c>
      <c r="C56" s="209" t="s">
        <v>122</v>
      </c>
      <c r="D56" s="210">
        <f>($H$36)</f>
        <v>0</v>
      </c>
      <c r="E56" s="83"/>
      <c r="F56" s="100"/>
      <c r="G56" s="83"/>
      <c r="H56" s="83"/>
      <c r="I56" s="83"/>
      <c r="J56" s="83"/>
      <c r="K56" s="83"/>
      <c r="L56" s="83"/>
      <c r="M56" s="83"/>
      <c r="N56" s="83"/>
      <c r="O56" s="83"/>
      <c r="P56" s="1"/>
      <c r="Q56" s="1"/>
      <c r="R56" s="1"/>
      <c r="S56" s="1"/>
      <c r="T56" s="1"/>
      <c r="U56" s="1"/>
    </row>
    <row r="57" spans="1:21" ht="14">
      <c r="A57" s="213" t="s">
        <v>121</v>
      </c>
      <c r="B57" s="214"/>
      <c r="C57" s="215" t="s">
        <v>122</v>
      </c>
      <c r="D57" s="216">
        <f>($H$40)</f>
        <v>0</v>
      </c>
      <c r="E57" s="83"/>
      <c r="F57" s="100"/>
      <c r="G57" s="83"/>
      <c r="H57" s="83"/>
      <c r="I57" s="83"/>
      <c r="J57" s="83"/>
      <c r="K57" s="83"/>
      <c r="L57" s="83"/>
      <c r="M57" s="83"/>
      <c r="N57" s="83"/>
      <c r="O57" s="83"/>
      <c r="P57" s="1"/>
      <c r="Q57" s="1"/>
      <c r="R57" s="1"/>
      <c r="S57" s="1"/>
      <c r="T57" s="1"/>
      <c r="U57" s="1"/>
    </row>
    <row r="58" spans="1:21" ht="13">
      <c r="A58" s="205"/>
      <c r="B58" s="205"/>
      <c r="C58" s="205"/>
      <c r="D58" s="205"/>
      <c r="E58" s="205"/>
      <c r="F58" s="205"/>
      <c r="G58" s="205"/>
      <c r="H58" s="205"/>
      <c r="I58" s="83"/>
      <c r="J58" s="83"/>
      <c r="K58" s="83"/>
      <c r="L58" s="83"/>
      <c r="M58" s="83"/>
      <c r="N58" s="83"/>
      <c r="O58" s="83"/>
      <c r="P58" s="1"/>
      <c r="Q58" s="1"/>
      <c r="R58" s="1"/>
      <c r="S58" s="1"/>
      <c r="T58" s="1"/>
      <c r="U58" s="1"/>
    </row>
    <row r="59" spans="1:21">
      <c r="I59" s="1"/>
      <c r="J59" s="1"/>
      <c r="K59" s="1"/>
      <c r="L59" s="1"/>
      <c r="M59" s="1"/>
      <c r="N59" s="1"/>
      <c r="O59" s="1"/>
      <c r="P59" s="1"/>
      <c r="Q59" s="1"/>
      <c r="R59" s="1"/>
      <c r="S59" s="1"/>
      <c r="T59" s="1"/>
      <c r="U59" s="1"/>
    </row>
  </sheetData>
  <sheetProtection algorithmName="SHA-512" hashValue="v3vt+FpQaUHKTl63Ji+n1WL1PPfjyjQwHqPM97MuNw2IcXcUn2epGg4rjw//HfYXCYW+aW31VdRIZFqGT9O8Ew==" saltValue="UwMUmPwhtfEN7LE5njGgQA==" spinCount="100000" sheet="1" objects="1" scenarios="1"/>
  <sortState xmlns:xlrd2="http://schemas.microsoft.com/office/spreadsheetml/2017/richdata2" ref="E48:H52">
    <sortCondition ref="E48:E52"/>
  </sortState>
  <mergeCells count="8">
    <mergeCell ref="A46:D46"/>
    <mergeCell ref="F46:H46"/>
    <mergeCell ref="I1:O1"/>
    <mergeCell ref="I14:O14"/>
    <mergeCell ref="I20:O20"/>
    <mergeCell ref="B3:E3"/>
    <mergeCell ref="C4:E8"/>
    <mergeCell ref="I46:J46"/>
  </mergeCells>
  <phoneticPr fontId="5" type="noConversion"/>
  <printOptions horizontalCentered="1"/>
  <pageMargins left="0.25" right="0.25" top="0.25" bottom="0.5" header="0.25" footer="0.25"/>
  <pageSetup orientation="portrait" horizontalDpi="4294967292" verticalDpi="4294967292" r:id="rId1"/>
  <headerFooter>
    <oddFooter>&amp;L&amp;"Arial Narrow,Regular"&amp;8&amp;K000000&amp;D&amp;C&amp;"Arial Narrow,Regular"&amp;8&amp;K000000PBW Summary&amp;R&amp;"Arial Narrow,Regular"&amp;8&amp;K000000page &amp;P of &amp;N</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0" id="{81C25943-6BA2-1844-AA5E-977EFECB0FB7}">
            <xm:f>PBW!$B$5="SP"</xm:f>
            <x14:dxf>
              <font>
                <b/>
                <i val="0"/>
                <strike val="0"/>
                <color theme="0"/>
              </font>
              <fill>
                <patternFill>
                  <bgColor theme="5"/>
                </patternFill>
              </fill>
            </x14:dxf>
          </x14:cfRule>
          <x14:cfRule type="expression" priority="25" id="{A752918C-7ED4-5849-9BA7-29FE7B7BF4DD}">
            <xm:f>PBW!$B$5="AA"</xm:f>
            <x14:dxf>
              <font>
                <b/>
                <i val="0"/>
                <strike val="0"/>
                <color theme="0"/>
              </font>
              <fill>
                <patternFill>
                  <bgColor rgb="FF538134"/>
                </patternFill>
              </fill>
            </x14:dxf>
          </x14:cfRule>
          <x14:cfRule type="expression" priority="24" id="{9FF15270-4823-8242-BE10-4C0CDC75F100}">
            <xm:f>PBW!$B$5="IS"</xm:f>
            <x14:dxf>
              <font>
                <b/>
                <i val="0"/>
                <strike val="0"/>
                <color theme="0"/>
              </font>
              <fill>
                <patternFill>
                  <bgColor rgb="FFBE9000"/>
                </patternFill>
              </fill>
            </x14:dxf>
          </x14:cfRule>
          <x14:cfRule type="expression" priority="23" id="{214BE280-FF3D-1340-987F-312E7D6E54A2}">
            <xm:f>PBW!$B$5="MFR"</xm:f>
            <x14:dxf>
              <font>
                <b/>
                <i val="0"/>
                <strike val="0"/>
                <color theme="0"/>
              </font>
              <fill>
                <patternFill>
                  <bgColor theme="9" tint="-0.24994659260841701"/>
                </patternFill>
              </fill>
            </x14:dxf>
          </x14:cfRule>
          <x14:cfRule type="expression" priority="22" id="{A2A71C1A-AB09-8540-9057-4A6A8BEBFF3C}">
            <xm:f>PBW!$B$5="MP"</xm:f>
            <x14:dxf>
              <font>
                <b/>
                <i val="0"/>
                <strike val="0"/>
                <color theme="0"/>
              </font>
              <fill>
                <patternFill>
                  <bgColor theme="3"/>
                </patternFill>
              </fill>
            </x14:dxf>
          </x14:cfRule>
          <x14:cfRule type="expression" priority="21" id="{7F6C222B-2E2C-744E-ADD3-47470A493125}">
            <xm:f>PBW!$B$5="P&amp;D"</xm:f>
            <x14:dxf>
              <font>
                <b/>
                <i val="0"/>
                <strike val="0"/>
                <color theme="0"/>
              </font>
              <fill>
                <patternFill>
                  <bgColor theme="7"/>
                </patternFill>
              </fill>
            </x14:dxf>
          </x14:cfRule>
          <xm:sqref>A46:D46 F46:H46</xm:sqref>
        </x14:conditionalFormatting>
        <x14:conditionalFormatting xmlns:xm="http://schemas.microsoft.com/office/excel/2006/main">
          <x14:cfRule type="expression" priority="31" id="{79C35D21-8071-0546-9E8E-CD570195A84C}">
            <xm:f>PBW!$B$5="AA"</xm:f>
            <x14:dxf>
              <font>
                <b/>
                <i val="0"/>
                <strike val="0"/>
                <color rgb="FF538134"/>
              </font>
              <fill>
                <patternFill>
                  <bgColor rgb="FFE2EFDA"/>
                </patternFill>
              </fill>
            </x14:dxf>
          </x14:cfRule>
          <x14:cfRule type="expression" priority="30" id="{A6FCB951-6736-884B-B0F6-A00FBBAC5E78}">
            <xm:f>PBW!$B$5="IS"</xm:f>
            <x14:dxf>
              <font>
                <b/>
                <i val="0"/>
                <strike val="0"/>
                <color rgb="FF7F6000"/>
              </font>
              <fill>
                <patternFill>
                  <bgColor rgb="FFFFF3CC"/>
                </patternFill>
              </fill>
            </x14:dxf>
          </x14:cfRule>
          <x14:cfRule type="expression" priority="29" id="{ABAC261C-77D6-3C46-9F4D-048AC7D179C8}">
            <xm:f>PBW!$B$5="MFR"</xm:f>
            <x14:dxf>
              <font>
                <b/>
                <i val="0"/>
                <strike val="0"/>
                <color theme="9" tint="-0.24994659260841701"/>
              </font>
              <fill>
                <patternFill>
                  <bgColor theme="9" tint="0.79998168889431442"/>
                </patternFill>
              </fill>
            </x14:dxf>
          </x14:cfRule>
          <x14:cfRule type="expression" priority="28" id="{C4AF4E20-A816-AA4A-B173-E4994EF449DA}">
            <xm:f>PBW!$B$5="MP"</xm:f>
            <x14:dxf>
              <font>
                <b/>
                <i val="0"/>
                <strike val="0"/>
                <color theme="3"/>
              </font>
              <fill>
                <patternFill>
                  <bgColor theme="4" tint="0.79998168889431442"/>
                </patternFill>
              </fill>
            </x14:dxf>
          </x14:cfRule>
          <x14:cfRule type="expression" priority="27" id="{68DE48B0-B4DA-5944-9EF2-7D2A3E3FE36F}">
            <xm:f>PBW!$B$5="P&amp;D"</xm:f>
            <x14:dxf>
              <font>
                <b/>
                <i val="0"/>
                <strike val="0"/>
                <color theme="7"/>
              </font>
              <fill>
                <patternFill>
                  <bgColor theme="7" tint="0.79998168889431442"/>
                </patternFill>
              </fill>
            </x14:dxf>
          </x14:cfRule>
          <x14:cfRule type="expression" priority="26" id="{50DFEB43-4015-034A-A515-0DF1747DDC6B}">
            <xm:f>PBW!$B$5="SP"</xm:f>
            <x14:dxf>
              <font>
                <b/>
                <i val="0"/>
                <strike val="0"/>
                <color theme="5"/>
              </font>
              <fill>
                <patternFill>
                  <bgColor theme="5" tint="0.79998168889431442"/>
                </patternFill>
              </fill>
            </x14:dxf>
          </x14:cfRule>
          <xm:sqref>A24:G24 A28:G28 A32:G32 A34:G34 A36:G36 A40:G40</xm:sqref>
        </x14:conditionalFormatting>
        <x14:conditionalFormatting xmlns:xm="http://schemas.microsoft.com/office/excel/2006/main">
          <x14:cfRule type="expression" priority="37" id="{A9C7EC13-1E17-B742-AF3B-55472D8ED46C}">
            <xm:f>PBW!$B$5="AA"</xm:f>
            <x14:dxf>
              <font>
                <b/>
                <i val="0"/>
                <strike val="0"/>
                <color theme="0"/>
              </font>
              <fill>
                <patternFill>
                  <bgColor rgb="FF538135"/>
                </patternFill>
              </fill>
            </x14:dxf>
          </x14:cfRule>
          <x14:cfRule type="expression" priority="32" id="{C6846D4F-CBE3-ED4F-8646-0EFB714FCF03}">
            <xm:f>PBW!$B$5="SP"</xm:f>
            <x14:dxf>
              <font>
                <b/>
                <i val="0"/>
                <strike val="0"/>
                <color theme="0"/>
              </font>
              <fill>
                <patternFill>
                  <bgColor theme="5"/>
                </patternFill>
              </fill>
            </x14:dxf>
          </x14:cfRule>
          <x14:cfRule type="expression" priority="33" id="{CECF8EFC-EFD1-A540-A2F1-45CAED0B56A7}">
            <xm:f>PBW!$B$5="P&amp;D"</xm:f>
            <x14:dxf>
              <font>
                <b/>
                <i val="0"/>
                <strike val="0"/>
                <color theme="0"/>
              </font>
              <fill>
                <patternFill>
                  <bgColor theme="7"/>
                </patternFill>
              </fill>
            </x14:dxf>
          </x14:cfRule>
          <x14:cfRule type="expression" priority="34" id="{AF0A65A8-0F5C-DA4A-BF86-287AF43A4036}">
            <xm:f>PBW!$B$5="MP"</xm:f>
            <x14:dxf>
              <font>
                <b/>
                <i val="0"/>
                <strike val="0"/>
                <color theme="0"/>
              </font>
              <fill>
                <patternFill>
                  <bgColor theme="3"/>
                </patternFill>
              </fill>
            </x14:dxf>
          </x14:cfRule>
          <x14:cfRule type="expression" priority="35" id="{DF11EE30-240C-8640-9045-3C8526ECEEBF}">
            <xm:f>PBW!$B$5="MFR"</xm:f>
            <x14:dxf>
              <font>
                <b/>
                <i val="0"/>
                <strike val="0"/>
                <color theme="0"/>
              </font>
              <fill>
                <patternFill>
                  <bgColor theme="9" tint="-0.24994659260841701"/>
                </patternFill>
              </fill>
            </x14:dxf>
          </x14:cfRule>
          <x14:cfRule type="expression" priority="36" id="{4C199ED4-2256-4248-9032-F8BC1EB24CCB}">
            <xm:f>PBW!$B$5="IS"</xm:f>
            <x14:dxf>
              <font>
                <b/>
                <i val="0"/>
                <strike val="0"/>
                <color theme="0"/>
              </font>
              <fill>
                <patternFill>
                  <bgColor rgb="FFBE9000"/>
                </patternFill>
              </fill>
            </x14:dxf>
          </x14:cfRule>
          <xm:sqref>A1:H1</xm:sqref>
        </x14:conditionalFormatting>
        <x14:conditionalFormatting xmlns:xm="http://schemas.microsoft.com/office/excel/2006/main">
          <x14:cfRule type="expression" priority="18" id="{210D19D1-69D6-8445-B0BF-7C1DB1A9D76C}">
            <xm:f>PBW!$B$5="AA"</xm:f>
            <x14:dxf>
              <font>
                <strike val="0"/>
                <color rgb="FF538134"/>
              </font>
            </x14:dxf>
          </x14:cfRule>
          <x14:cfRule type="expression" priority="17" id="{03313E31-935B-5348-84F8-E00E1190B85E}">
            <xm:f>PBW!$B$5="IS"</xm:f>
            <x14:dxf>
              <font>
                <strike val="0"/>
                <color rgb="FF7F6000"/>
              </font>
            </x14:dxf>
          </x14:cfRule>
          <x14:cfRule type="expression" priority="16" id="{28ADFC0A-E9DF-F44D-8F5A-EE343020C784}">
            <xm:f>PBW!$B$5="MFR"</xm:f>
            <x14:dxf>
              <font>
                <strike val="0"/>
                <color theme="9" tint="-0.24994659260841701"/>
              </font>
            </x14:dxf>
          </x14:cfRule>
          <x14:cfRule type="expression" priority="15" id="{7E1FD705-40BF-494E-95F4-7FE4A8AF7970}">
            <xm:f>PBW!$B$5="MP"</xm:f>
            <x14:dxf>
              <font>
                <strike val="0"/>
                <color theme="3"/>
              </font>
            </x14:dxf>
          </x14:cfRule>
          <x14:cfRule type="expression" priority="14" id="{2D1669D5-E2C2-4643-A300-A5F4C5EE80D2}">
            <xm:f>PBW!$B$5="P&amp;D"</xm:f>
            <x14:dxf>
              <font>
                <strike val="0"/>
                <color theme="7"/>
              </font>
            </x14:dxf>
          </x14:cfRule>
          <x14:cfRule type="expression" priority="13" id="{A2E128A8-1426-F74A-AA75-AA530DE0261C}">
            <xm:f>PBW!$B$5="SP"</xm:f>
            <x14:dxf>
              <font>
                <strike val="0"/>
                <color theme="5"/>
              </font>
            </x14:dxf>
          </x14:cfRule>
          <xm:sqref>D48:D49 H48:I53 D51:D52 D54:D56</xm:sqref>
        </x14:conditionalFormatting>
        <x14:conditionalFormatting xmlns:xm="http://schemas.microsoft.com/office/excel/2006/main">
          <x14:cfRule type="expression" priority="6" id="{6485BA7D-0536-BE4F-AD29-F71974EE9805}">
            <xm:f>PBW!$B$5="AA"</xm:f>
            <x14:dxf>
              <font>
                <b/>
                <i val="0"/>
                <strike val="0"/>
                <color rgb="FF538134"/>
              </font>
            </x14:dxf>
          </x14:cfRule>
          <x14:cfRule type="expression" priority="5" id="{90446603-B349-434F-91AC-BCC1264519D9}">
            <xm:f>PBW!$B$5="IS"</xm:f>
            <x14:dxf>
              <font>
                <b/>
                <i val="0"/>
                <strike val="0"/>
                <color rgb="FF7F6000"/>
              </font>
            </x14:dxf>
          </x14:cfRule>
          <x14:cfRule type="expression" priority="4" id="{5E166543-DE82-8B4D-BF02-8816DB4FA0B3}">
            <xm:f>PBW!$B$5="MFR"</xm:f>
            <x14:dxf>
              <font>
                <b/>
                <i val="0"/>
                <strike val="0"/>
                <color theme="9" tint="-0.24994659260841701"/>
              </font>
            </x14:dxf>
          </x14:cfRule>
          <x14:cfRule type="expression" priority="3" id="{A846DB35-BD14-D146-B75E-9816F423A74B}">
            <xm:f>PBW!$B$5="MP"</xm:f>
            <x14:dxf>
              <font>
                <b/>
                <i val="0"/>
                <strike val="0"/>
                <color theme="3"/>
              </font>
            </x14:dxf>
          </x14:cfRule>
          <x14:cfRule type="expression" priority="2" id="{F2B193A2-474F-AD4C-98D4-763EC5456223}">
            <xm:f>PBW!$B$5="P&amp;D"</xm:f>
            <x14:dxf>
              <font>
                <b/>
                <i val="0"/>
                <strike val="0"/>
                <color theme="7"/>
              </font>
            </x14:dxf>
          </x14:cfRule>
          <x14:cfRule type="expression" priority="1" id="{3B0F4469-1EC3-2949-8F77-1B163C479A6A}">
            <xm:f>PBW!$B$5="SP"</xm:f>
            <x14:dxf>
              <font>
                <b/>
                <i val="0"/>
                <strike val="0"/>
                <color theme="5"/>
              </font>
            </x14:dxf>
          </x14:cfRule>
          <xm:sqref>D50 D53 H54:I54 D57</xm:sqref>
        </x14:conditionalFormatting>
      </x14:conditionalFormatting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5776"/>
  </sheetPr>
  <dimension ref="A1:H192"/>
  <sheetViews>
    <sheetView showGridLines="0" tabSelected="1" view="pageLayout" zoomScaleNormal="100" workbookViewId="0">
      <selection activeCell="B3" sqref="B3:E3"/>
    </sheetView>
  </sheetViews>
  <sheetFormatPr baseColWidth="10" defaultColWidth="8.19921875" defaultRowHeight="12"/>
  <cols>
    <col min="1" max="1" width="20" customWidth="1"/>
    <col min="2" max="2" width="18" customWidth="1"/>
    <col min="3" max="3" width="11.796875" customWidth="1"/>
    <col min="4" max="4" width="13.59765625" customWidth="1"/>
    <col min="5" max="5" width="11.796875" customWidth="1"/>
    <col min="6" max="6" width="10" customWidth="1"/>
    <col min="7" max="8" width="13.59765625" customWidth="1"/>
  </cols>
  <sheetData>
    <row r="1" spans="1:8" ht="13">
      <c r="A1" s="175" t="s">
        <v>281</v>
      </c>
      <c r="B1" s="176"/>
      <c r="C1" s="176"/>
      <c r="D1" s="176"/>
      <c r="E1" s="176"/>
      <c r="F1" s="176"/>
      <c r="G1" s="176"/>
      <c r="H1" s="177" t="str">
        <f>"PROJECT BUDGET WORKSHEET"&amp;" "&amp;VERSION</f>
        <v>PROJECT BUDGET WORKSHEET Rev. 2025-05BR</v>
      </c>
    </row>
    <row r="2" spans="1:8" ht="6" customHeight="1">
      <c r="A2" s="83"/>
      <c r="B2" s="83"/>
      <c r="C2" s="83"/>
      <c r="D2" s="83"/>
      <c r="E2" s="83"/>
      <c r="F2" s="84" t="s">
        <v>16</v>
      </c>
      <c r="G2" s="83"/>
      <c r="H2" s="83"/>
    </row>
    <row r="3" spans="1:8">
      <c r="A3" s="85" t="s">
        <v>17</v>
      </c>
      <c r="B3" s="536" t="s">
        <v>73</v>
      </c>
      <c r="C3" s="536"/>
      <c r="D3" s="536"/>
      <c r="E3" s="536"/>
      <c r="F3" s="84" t="s">
        <v>107</v>
      </c>
      <c r="G3" s="83"/>
      <c r="H3" s="410">
        <f ca="1">TODAY()</f>
        <v>45777</v>
      </c>
    </row>
    <row r="4" spans="1:8">
      <c r="A4" s="85" t="s">
        <v>74</v>
      </c>
      <c r="B4" s="409" t="s">
        <v>73</v>
      </c>
      <c r="C4" s="535"/>
      <c r="D4" s="535"/>
      <c r="E4" s="535"/>
      <c r="F4" s="84" t="s">
        <v>108</v>
      </c>
      <c r="G4" s="86"/>
      <c r="H4" s="411" t="s">
        <v>2</v>
      </c>
    </row>
    <row r="5" spans="1:8" ht="13" thickBot="1">
      <c r="A5" s="87" t="s">
        <v>349</v>
      </c>
      <c r="B5" s="409" t="s">
        <v>73</v>
      </c>
      <c r="C5" s="535"/>
      <c r="D5" s="535"/>
      <c r="E5" s="535"/>
      <c r="F5" s="83" t="s">
        <v>38</v>
      </c>
      <c r="G5" s="83"/>
      <c r="H5" s="412" t="s">
        <v>2</v>
      </c>
    </row>
    <row r="6" spans="1:8" ht="13" thickBot="1">
      <c r="A6" s="85" t="s">
        <v>347</v>
      </c>
      <c r="B6" s="409" t="s">
        <v>73</v>
      </c>
      <c r="C6" s="535"/>
      <c r="D6" s="535"/>
      <c r="E6" s="535"/>
      <c r="F6" s="85" t="s">
        <v>321</v>
      </c>
      <c r="G6" s="83"/>
      <c r="H6" s="88">
        <f>VALUE($H$180)</f>
        <v>0</v>
      </c>
    </row>
    <row r="7" spans="1:8" ht="6" customHeight="1">
      <c r="A7" s="83"/>
      <c r="B7" s="83"/>
      <c r="C7" s="535"/>
      <c r="D7" s="535"/>
      <c r="E7" s="535"/>
      <c r="F7" s="83"/>
      <c r="G7" s="83"/>
      <c r="H7" s="83"/>
    </row>
    <row r="8" spans="1:8">
      <c r="A8" s="85" t="s">
        <v>18</v>
      </c>
      <c r="B8" s="83"/>
      <c r="C8" s="535"/>
      <c r="D8" s="535"/>
      <c r="E8" s="535"/>
      <c r="F8" s="83"/>
      <c r="G8" s="89" t="s">
        <v>348</v>
      </c>
      <c r="H8" s="90" t="s">
        <v>109</v>
      </c>
    </row>
    <row r="9" spans="1:8">
      <c r="A9" s="84" t="s">
        <v>19</v>
      </c>
      <c r="B9" s="415">
        <f>($B$25)</f>
        <v>0</v>
      </c>
      <c r="C9" s="83"/>
      <c r="D9" s="83"/>
      <c r="E9" s="83"/>
      <c r="F9" s="84" t="s">
        <v>45</v>
      </c>
      <c r="G9" s="312">
        <f>INDEX(ENR!$B$19:$M$99,MATCH(YEAR($H$9),ENR!$A$19:$A$99,1),MATCH(MONTH($H$9),ENR!$B$18:$M$18,1))</f>
        <v>8520.44</v>
      </c>
      <c r="H9" s="413">
        <v>45778</v>
      </c>
    </row>
    <row r="10" spans="1:8">
      <c r="A10" s="84" t="s">
        <v>20</v>
      </c>
      <c r="B10" s="416">
        <f>($D$25)</f>
        <v>0</v>
      </c>
      <c r="C10" s="91">
        <f>IF(ISERR($B$9/$B$10),0,($B$9/$B$10))</f>
        <v>0</v>
      </c>
      <c r="D10" s="83" t="s">
        <v>43</v>
      </c>
      <c r="E10" s="92" t="str">
        <f>IF($H$10&lt;$H$9,"ERROR!","")</f>
        <v/>
      </c>
      <c r="F10" s="84" t="s">
        <v>371</v>
      </c>
      <c r="G10" s="312">
        <f>INDEX(ENR!$B$19:$M$99,MATCH(YEAR($H$10),ENR!$A$19:$A$99,1),MATCH(MONTH($H$10),ENR!$B$18:$M$18,1))</f>
        <v>10933.648562607867</v>
      </c>
      <c r="H10" s="414">
        <v>47300</v>
      </c>
    </row>
    <row r="11" spans="1:8">
      <c r="A11" s="84"/>
      <c r="B11" s="93"/>
      <c r="C11" s="94"/>
      <c r="D11" s="83"/>
      <c r="E11" s="313" t="str">
        <f>(PBW!$G$135)</f>
        <v>NORMAL</v>
      </c>
      <c r="F11" s="84" t="s">
        <v>372</v>
      </c>
      <c r="G11" s="83"/>
      <c r="H11" s="355">
        <f>IF($G$135="NO INFLATION",1,IF($G$135="2025-27 CBR",ENR!$L$7,($G$10/$G$9)))</f>
        <v>1.2832258149353633</v>
      </c>
    </row>
    <row r="12" spans="1:8">
      <c r="A12" s="85" t="s">
        <v>21</v>
      </c>
      <c r="B12" s="95"/>
      <c r="C12" s="86"/>
      <c r="D12" s="83"/>
      <c r="E12" s="96" t="str">
        <f>IF($H$12&lt;&gt;$H$11,"WARNING! ENR ESCALATION VALUES DO NOT MATCH!","")</f>
        <v/>
      </c>
      <c r="F12" s="84" t="s">
        <v>373</v>
      </c>
      <c r="G12" s="83"/>
      <c r="H12" s="356">
        <f>($H$11)</f>
        <v>1.2832258149353633</v>
      </c>
    </row>
    <row r="13" spans="1:8">
      <c r="A13" s="84" t="s">
        <v>22</v>
      </c>
      <c r="B13" s="415">
        <f>($D$37)</f>
        <v>0</v>
      </c>
      <c r="C13" s="86"/>
      <c r="D13" s="83"/>
      <c r="E13" s="83"/>
      <c r="F13" s="84" t="s">
        <v>374</v>
      </c>
      <c r="G13" s="83"/>
      <c r="H13" s="355">
        <f>($H$12-$H$11)</f>
        <v>0</v>
      </c>
    </row>
    <row r="14" spans="1:8">
      <c r="A14" s="84" t="s">
        <v>23</v>
      </c>
      <c r="B14" s="416">
        <v>0</v>
      </c>
      <c r="C14" s="91">
        <f>IF(ISERR($B$13/$B$14),0,($B$13/$B$14))</f>
        <v>0</v>
      </c>
      <c r="D14" s="83" t="s">
        <v>44</v>
      </c>
      <c r="E14" s="83"/>
      <c r="F14" s="84" t="s">
        <v>309</v>
      </c>
      <c r="G14" s="313" t="str">
        <f>IF($H$180&gt;5000,((VLOOKUP($H$180,DURATION,3))/365)*(12)&amp;" months","")</f>
        <v/>
      </c>
      <c r="H14" s="98" t="str">
        <f>IF($H$180&gt;5000,((VLOOKUP($H$180,DURATION,3))+$H$10),"")</f>
        <v/>
      </c>
    </row>
    <row r="15" spans="1:8" ht="6" customHeight="1" thickBot="1">
      <c r="A15" s="99"/>
      <c r="B15" s="99"/>
      <c r="C15" s="99"/>
      <c r="D15" s="99"/>
      <c r="E15" s="99"/>
      <c r="F15" s="99"/>
      <c r="G15" s="99"/>
      <c r="H15" s="99"/>
    </row>
    <row r="16" spans="1:8">
      <c r="A16" s="85" t="s">
        <v>35</v>
      </c>
      <c r="B16" s="87"/>
      <c r="C16" s="83"/>
      <c r="D16" s="83"/>
      <c r="E16" s="83"/>
      <c r="F16" s="83"/>
      <c r="G16" s="100"/>
      <c r="H16" s="83"/>
    </row>
    <row r="17" spans="1:8">
      <c r="A17" s="84" t="s">
        <v>24</v>
      </c>
      <c r="B17" s="100" t="s">
        <v>25</v>
      </c>
      <c r="C17" s="100" t="s">
        <v>26</v>
      </c>
      <c r="D17" s="101" t="s">
        <v>27</v>
      </c>
      <c r="E17" s="100" t="s">
        <v>28</v>
      </c>
      <c r="F17" s="101"/>
      <c r="G17" s="101" t="s">
        <v>1</v>
      </c>
      <c r="H17" s="83"/>
    </row>
    <row r="18" spans="1:8">
      <c r="A18" s="417" t="s">
        <v>326</v>
      </c>
      <c r="B18" s="418">
        <v>0</v>
      </c>
      <c r="C18" s="419">
        <v>0</v>
      </c>
      <c r="D18" s="102">
        <f>IF($B18&gt;0,ROUND($B18/$C18,-2),0)</f>
        <v>0</v>
      </c>
      <c r="E18" s="429">
        <v>0</v>
      </c>
      <c r="F18" s="103"/>
      <c r="G18" s="104">
        <f>ROUND($D18*$E18,-2)</f>
        <v>0</v>
      </c>
      <c r="H18" s="83"/>
    </row>
    <row r="19" spans="1:8">
      <c r="A19" s="420" t="s">
        <v>327</v>
      </c>
      <c r="B19" s="421">
        <v>0</v>
      </c>
      <c r="C19" s="422">
        <v>0</v>
      </c>
      <c r="D19" s="105">
        <f>IF($B19&gt;0,ROUND($B19/$C19,-2),0)</f>
        <v>0</v>
      </c>
      <c r="E19" s="430">
        <v>0</v>
      </c>
      <c r="F19" s="106"/>
      <c r="G19" s="107">
        <f>ROUND($D19*$E19,-2)</f>
        <v>0</v>
      </c>
      <c r="H19" s="83"/>
    </row>
    <row r="20" spans="1:8">
      <c r="A20" s="420" t="s">
        <v>328</v>
      </c>
      <c r="B20" s="421">
        <v>0</v>
      </c>
      <c r="C20" s="422">
        <v>0</v>
      </c>
      <c r="D20" s="105">
        <f t="shared" ref="D20:D22" si="0">IF($B20&gt;0,ROUND($B20/$C20,-2),0)</f>
        <v>0</v>
      </c>
      <c r="E20" s="430">
        <v>0</v>
      </c>
      <c r="F20" s="106"/>
      <c r="G20" s="107">
        <f t="shared" ref="G20:G22" si="1">ROUND($D20*$E20,-2)</f>
        <v>0</v>
      </c>
      <c r="H20" s="83"/>
    </row>
    <row r="21" spans="1:8">
      <c r="A21" s="423" t="s">
        <v>329</v>
      </c>
      <c r="B21" s="424">
        <v>0</v>
      </c>
      <c r="C21" s="425">
        <v>0</v>
      </c>
      <c r="D21" s="108">
        <f t="shared" si="0"/>
        <v>0</v>
      </c>
      <c r="E21" s="431">
        <v>0</v>
      </c>
      <c r="F21" s="109"/>
      <c r="G21" s="110">
        <f t="shared" si="1"/>
        <v>0</v>
      </c>
      <c r="H21" s="83"/>
    </row>
    <row r="22" spans="1:8">
      <c r="A22" s="420" t="s">
        <v>330</v>
      </c>
      <c r="B22" s="421">
        <v>0</v>
      </c>
      <c r="C22" s="422">
        <v>0</v>
      </c>
      <c r="D22" s="105">
        <f t="shared" si="0"/>
        <v>0</v>
      </c>
      <c r="E22" s="430">
        <v>0</v>
      </c>
      <c r="F22" s="106"/>
      <c r="G22" s="107">
        <f t="shared" si="1"/>
        <v>0</v>
      </c>
      <c r="H22" s="83"/>
    </row>
    <row r="23" spans="1:8">
      <c r="A23" s="420" t="s">
        <v>331</v>
      </c>
      <c r="B23" s="421">
        <v>0</v>
      </c>
      <c r="C23" s="422">
        <v>0</v>
      </c>
      <c r="D23" s="105">
        <f>IF($B23&gt;0,ROUND($B23/$C23,-2),0)</f>
        <v>0</v>
      </c>
      <c r="E23" s="430">
        <v>0</v>
      </c>
      <c r="F23" s="106"/>
      <c r="G23" s="107">
        <f>ROUND($D23*$E23,-2)</f>
        <v>0</v>
      </c>
      <c r="H23" s="83"/>
    </row>
    <row r="24" spans="1:8">
      <c r="A24" s="426" t="s">
        <v>332</v>
      </c>
      <c r="B24" s="427">
        <v>0</v>
      </c>
      <c r="C24" s="428">
        <v>0</v>
      </c>
      <c r="D24" s="102">
        <f>IF($B24&gt;0,ROUND($B24/$C24,-2),0)</f>
        <v>0</v>
      </c>
      <c r="E24" s="432">
        <v>0</v>
      </c>
      <c r="F24" s="103"/>
      <c r="G24" s="104">
        <f>ROUND($D24*$E24,-2)</f>
        <v>0</v>
      </c>
      <c r="H24" s="83"/>
    </row>
    <row r="25" spans="1:8">
      <c r="A25" s="83"/>
      <c r="B25" s="111">
        <f>SUM(B$18:B$24)</f>
        <v>0</v>
      </c>
      <c r="C25" s="93"/>
      <c r="D25" s="111">
        <f>SUM(D$18:D$24)</f>
        <v>0</v>
      </c>
      <c r="E25" s="107"/>
      <c r="F25" s="84" t="s">
        <v>29</v>
      </c>
      <c r="G25" s="107">
        <f>ROUND(SUM(G$18:G$24),-3)</f>
        <v>0</v>
      </c>
      <c r="H25" s="83"/>
    </row>
    <row r="26" spans="1:8">
      <c r="A26" s="83" t="s">
        <v>89</v>
      </c>
      <c r="B26" s="93"/>
      <c r="C26" s="93"/>
      <c r="D26" s="93"/>
      <c r="E26" s="93"/>
      <c r="F26" s="84"/>
      <c r="G26" s="93"/>
      <c r="H26" s="112">
        <f>($G$25)</f>
        <v>0</v>
      </c>
    </row>
    <row r="27" spans="1:8" ht="6" customHeight="1">
      <c r="A27" s="83"/>
      <c r="B27" s="93"/>
      <c r="C27" s="93"/>
      <c r="D27" s="93"/>
      <c r="E27" s="93"/>
      <c r="F27" s="84"/>
      <c r="G27" s="93"/>
      <c r="H27" s="113"/>
    </row>
    <row r="28" spans="1:8">
      <c r="A28" s="85" t="s">
        <v>36</v>
      </c>
      <c r="B28" s="87"/>
      <c r="C28" s="83"/>
      <c r="D28" s="83"/>
      <c r="E28" s="83"/>
      <c r="F28" s="83"/>
      <c r="G28" s="100"/>
      <c r="H28" s="83"/>
    </row>
    <row r="29" spans="1:8">
      <c r="A29" s="84" t="s">
        <v>24</v>
      </c>
      <c r="B29" s="100" t="s">
        <v>25</v>
      </c>
      <c r="C29" s="100" t="s">
        <v>26</v>
      </c>
      <c r="D29" s="101" t="s">
        <v>27</v>
      </c>
      <c r="E29" s="100" t="s">
        <v>28</v>
      </c>
      <c r="F29" s="101"/>
      <c r="G29" s="101" t="s">
        <v>1</v>
      </c>
      <c r="H29" s="83"/>
    </row>
    <row r="30" spans="1:8">
      <c r="A30" s="417" t="s">
        <v>333</v>
      </c>
      <c r="B30" s="418">
        <v>0</v>
      </c>
      <c r="C30" s="419">
        <v>0</v>
      </c>
      <c r="D30" s="102">
        <f>IF($B30&gt;0,ROUND($B30/$C30,-2),0)</f>
        <v>0</v>
      </c>
      <c r="E30" s="429">
        <v>0</v>
      </c>
      <c r="F30" s="103"/>
      <c r="G30" s="104">
        <f>ROUND($D30*$E30,-2)</f>
        <v>0</v>
      </c>
      <c r="H30" s="83"/>
    </row>
    <row r="31" spans="1:8">
      <c r="A31" s="420" t="s">
        <v>334</v>
      </c>
      <c r="B31" s="421">
        <v>0</v>
      </c>
      <c r="C31" s="422">
        <v>0</v>
      </c>
      <c r="D31" s="105">
        <f>IF($B31&gt;0,ROUND($B31/$C31,-2),0)</f>
        <v>0</v>
      </c>
      <c r="E31" s="430">
        <v>0</v>
      </c>
      <c r="F31" s="106"/>
      <c r="G31" s="107">
        <f>ROUND($D31*$E31,-2)</f>
        <v>0</v>
      </c>
      <c r="H31" s="83"/>
    </row>
    <row r="32" spans="1:8">
      <c r="A32" s="420" t="s">
        <v>335</v>
      </c>
      <c r="B32" s="421">
        <v>0</v>
      </c>
      <c r="C32" s="422">
        <v>0</v>
      </c>
      <c r="D32" s="105">
        <f t="shared" ref="D32:D34" si="2">IF($B32&gt;0,ROUND($B32/$C32,-2),0)</f>
        <v>0</v>
      </c>
      <c r="E32" s="430">
        <v>0</v>
      </c>
      <c r="F32" s="106"/>
      <c r="G32" s="107">
        <f t="shared" ref="G32:G34" si="3">ROUND($D32*$E32,-2)</f>
        <v>0</v>
      </c>
      <c r="H32" s="83"/>
    </row>
    <row r="33" spans="1:8">
      <c r="A33" s="423" t="s">
        <v>336</v>
      </c>
      <c r="B33" s="424">
        <v>0</v>
      </c>
      <c r="C33" s="425">
        <v>0</v>
      </c>
      <c r="D33" s="108">
        <f t="shared" si="2"/>
        <v>0</v>
      </c>
      <c r="E33" s="431">
        <v>0</v>
      </c>
      <c r="F33" s="109"/>
      <c r="G33" s="110">
        <f t="shared" si="3"/>
        <v>0</v>
      </c>
      <c r="H33" s="83"/>
    </row>
    <row r="34" spans="1:8">
      <c r="A34" s="420" t="s">
        <v>337</v>
      </c>
      <c r="B34" s="421">
        <v>0</v>
      </c>
      <c r="C34" s="422">
        <v>0</v>
      </c>
      <c r="D34" s="105">
        <f t="shared" si="2"/>
        <v>0</v>
      </c>
      <c r="E34" s="430">
        <v>0</v>
      </c>
      <c r="F34" s="106"/>
      <c r="G34" s="107">
        <f t="shared" si="3"/>
        <v>0</v>
      </c>
      <c r="H34" s="83"/>
    </row>
    <row r="35" spans="1:8">
      <c r="A35" s="420" t="s">
        <v>338</v>
      </c>
      <c r="B35" s="421">
        <v>0</v>
      </c>
      <c r="C35" s="422">
        <v>0</v>
      </c>
      <c r="D35" s="105">
        <f>IF($B35&gt;0,ROUND($B35/$C35,-2),0)</f>
        <v>0</v>
      </c>
      <c r="E35" s="430">
        <v>0</v>
      </c>
      <c r="F35" s="106"/>
      <c r="G35" s="107">
        <f>ROUND($D35*$E35,-2)</f>
        <v>0</v>
      </c>
      <c r="H35" s="83"/>
    </row>
    <row r="36" spans="1:8">
      <c r="A36" s="426" t="s">
        <v>339</v>
      </c>
      <c r="B36" s="427">
        <v>0</v>
      </c>
      <c r="C36" s="428">
        <v>0</v>
      </c>
      <c r="D36" s="102">
        <f>IF($B36&gt;0,ROUND($B36/$C36,-2),0)</f>
        <v>0</v>
      </c>
      <c r="E36" s="432">
        <v>0</v>
      </c>
      <c r="F36" s="103"/>
      <c r="G36" s="104">
        <f>ROUND($D36*$E36,-2)</f>
        <v>0</v>
      </c>
      <c r="H36" s="83"/>
    </row>
    <row r="37" spans="1:8">
      <c r="A37" s="83"/>
      <c r="B37" s="111">
        <f>SUM(B$30:B$36)</f>
        <v>0</v>
      </c>
      <c r="C37" s="93"/>
      <c r="D37" s="111">
        <f>SUM(D$30:D$36)</f>
        <v>0</v>
      </c>
      <c r="E37" s="93"/>
      <c r="F37" s="84" t="s">
        <v>29</v>
      </c>
      <c r="G37" s="107">
        <f>ROUND(SUM(G$30:G$36),-3)</f>
        <v>0</v>
      </c>
      <c r="H37" s="112">
        <f>($G$37)</f>
        <v>0</v>
      </c>
    </row>
    <row r="38" spans="1:8">
      <c r="A38" s="87" t="s">
        <v>37</v>
      </c>
      <c r="B38" s="93"/>
      <c r="C38" s="93"/>
      <c r="D38" s="93"/>
      <c r="E38" s="93"/>
      <c r="F38" s="83"/>
      <c r="G38" s="100"/>
      <c r="H38" s="93"/>
    </row>
    <row r="39" spans="1:8">
      <c r="A39" s="114" t="s">
        <v>30</v>
      </c>
      <c r="B39" s="83"/>
      <c r="C39" s="83"/>
      <c r="D39" s="101" t="s">
        <v>27</v>
      </c>
      <c r="E39" s="101" t="s">
        <v>28</v>
      </c>
      <c r="F39" s="101" t="s">
        <v>278</v>
      </c>
      <c r="G39" s="101" t="s">
        <v>0</v>
      </c>
      <c r="H39" s="83"/>
    </row>
    <row r="40" spans="1:8">
      <c r="A40" s="115" t="s">
        <v>31</v>
      </c>
      <c r="B40" s="116" t="s">
        <v>64</v>
      </c>
      <c r="C40" s="117"/>
      <c r="D40" s="117"/>
      <c r="E40" s="117"/>
      <c r="F40" s="117"/>
      <c r="G40" s="117"/>
      <c r="H40" s="83"/>
    </row>
    <row r="41" spans="1:8">
      <c r="A41" s="118" t="s">
        <v>265</v>
      </c>
      <c r="B41" s="533" t="s">
        <v>73</v>
      </c>
      <c r="C41" s="534"/>
      <c r="D41" s="433">
        <v>0</v>
      </c>
      <c r="E41" s="434">
        <f t="shared" ref="E41:E44" si="4">($F41)</f>
        <v>17</v>
      </c>
      <c r="F41" s="119">
        <f>ROUNDUP((10*ENR!$S$15),0)</f>
        <v>17</v>
      </c>
      <c r="G41" s="107">
        <f>ROUND($D41*$E41,-2)</f>
        <v>0</v>
      </c>
      <c r="H41" s="120"/>
    </row>
    <row r="42" spans="1:8">
      <c r="A42" s="118" t="s">
        <v>266</v>
      </c>
      <c r="B42" s="533" t="s">
        <v>73</v>
      </c>
      <c r="C42" s="534"/>
      <c r="D42" s="435">
        <v>0</v>
      </c>
      <c r="E42" s="436">
        <f t="shared" si="4"/>
        <v>59</v>
      </c>
      <c r="F42" s="119">
        <f>ROUNDUP((35*ENR!$S$15),0)</f>
        <v>59</v>
      </c>
      <c r="G42" s="107">
        <f>ROUND($D42*$E42,-2)</f>
        <v>0</v>
      </c>
      <c r="H42" s="83"/>
    </row>
    <row r="43" spans="1:8">
      <c r="A43" s="118" t="s">
        <v>267</v>
      </c>
      <c r="B43" s="533" t="s">
        <v>73</v>
      </c>
      <c r="C43" s="534"/>
      <c r="D43" s="435">
        <v>0</v>
      </c>
      <c r="E43" s="436">
        <f t="shared" si="4"/>
        <v>99</v>
      </c>
      <c r="F43" s="119">
        <f>ROUNDUP((58.5*ENR!$S$15),0)</f>
        <v>99</v>
      </c>
      <c r="G43" s="107">
        <f>ROUND($D43*$E43,-2)</f>
        <v>0</v>
      </c>
      <c r="H43" s="83"/>
    </row>
    <row r="44" spans="1:8">
      <c r="A44" s="118" t="s">
        <v>268</v>
      </c>
      <c r="B44" s="533" t="s">
        <v>73</v>
      </c>
      <c r="C44" s="534"/>
      <c r="D44" s="437">
        <v>0</v>
      </c>
      <c r="E44" s="438">
        <f t="shared" si="4"/>
        <v>118</v>
      </c>
      <c r="F44" s="119">
        <f>ROUNDUP((70*ENR!$S$15),0)</f>
        <v>118</v>
      </c>
      <c r="G44" s="107">
        <f>ROUND($D44*$E44,-2)</f>
        <v>0</v>
      </c>
      <c r="H44" s="83"/>
    </row>
    <row r="45" spans="1:8">
      <c r="A45" s="115" t="s">
        <v>32</v>
      </c>
      <c r="B45" s="117"/>
      <c r="C45" s="117"/>
      <c r="D45" s="121"/>
      <c r="E45" s="122"/>
      <c r="F45" s="122"/>
      <c r="G45" s="123"/>
      <c r="H45" s="83"/>
    </row>
    <row r="46" spans="1:8">
      <c r="A46" s="118" t="s">
        <v>266</v>
      </c>
      <c r="B46" s="533" t="s">
        <v>73</v>
      </c>
      <c r="C46" s="534"/>
      <c r="D46" s="433">
        <v>0</v>
      </c>
      <c r="E46" s="434">
        <f t="shared" ref="E46:E49" si="5">($F46)</f>
        <v>19</v>
      </c>
      <c r="F46" s="119">
        <f>ROUNDUP((11.25*ENR!$S$15),0)</f>
        <v>19</v>
      </c>
      <c r="G46" s="107">
        <f>ROUND($D46*$E46,-2)</f>
        <v>0</v>
      </c>
      <c r="H46" s="83"/>
    </row>
    <row r="47" spans="1:8">
      <c r="A47" s="118" t="s">
        <v>267</v>
      </c>
      <c r="B47" s="533" t="s">
        <v>73</v>
      </c>
      <c r="C47" s="534"/>
      <c r="D47" s="435">
        <v>0</v>
      </c>
      <c r="E47" s="436">
        <f t="shared" si="5"/>
        <v>33</v>
      </c>
      <c r="F47" s="119">
        <f>ROUNDUP((19.5*ENR!$S$15),0)</f>
        <v>33</v>
      </c>
      <c r="G47" s="107">
        <f>ROUND($D47*$E47,-2)</f>
        <v>0</v>
      </c>
      <c r="H47" s="83"/>
    </row>
    <row r="48" spans="1:8">
      <c r="A48" s="118" t="s">
        <v>268</v>
      </c>
      <c r="B48" s="533" t="s">
        <v>73</v>
      </c>
      <c r="C48" s="534"/>
      <c r="D48" s="435">
        <v>0</v>
      </c>
      <c r="E48" s="436">
        <f t="shared" si="5"/>
        <v>37</v>
      </c>
      <c r="F48" s="119">
        <f>ROUNDUP((22*ENR!$S$15),0)</f>
        <v>37</v>
      </c>
      <c r="G48" s="107">
        <f>ROUND($D48*$E48,-2)</f>
        <v>0</v>
      </c>
      <c r="H48" s="83"/>
    </row>
    <row r="49" spans="1:8">
      <c r="A49" s="118" t="s">
        <v>269</v>
      </c>
      <c r="B49" s="533" t="s">
        <v>73</v>
      </c>
      <c r="C49" s="534"/>
      <c r="D49" s="437">
        <v>0</v>
      </c>
      <c r="E49" s="438">
        <f t="shared" si="5"/>
        <v>70</v>
      </c>
      <c r="F49" s="119">
        <f>ROUNDUP((41.5*ENR!$S$15),0)</f>
        <v>70</v>
      </c>
      <c r="G49" s="107">
        <f>ROUND($D49*$E49,-2)</f>
        <v>0</v>
      </c>
      <c r="H49" s="83"/>
    </row>
    <row r="50" spans="1:8">
      <c r="A50" s="115" t="s">
        <v>270</v>
      </c>
      <c r="B50" s="117"/>
      <c r="C50" s="117"/>
      <c r="D50" s="121"/>
      <c r="E50" s="122"/>
      <c r="F50" s="122"/>
      <c r="G50" s="123"/>
      <c r="H50" s="83"/>
    </row>
    <row r="51" spans="1:8">
      <c r="A51" s="118" t="s">
        <v>266</v>
      </c>
      <c r="B51" s="533" t="s">
        <v>73</v>
      </c>
      <c r="C51" s="534"/>
      <c r="D51" s="433">
        <v>0</v>
      </c>
      <c r="E51" s="434">
        <f t="shared" ref="E51:E53" si="6">($F51)</f>
        <v>26</v>
      </c>
      <c r="F51" s="119">
        <f>ROUNDUP((15*ENR!$S$15),0)</f>
        <v>26</v>
      </c>
      <c r="G51" s="107">
        <f>ROUND($D51*$E51,-2)</f>
        <v>0</v>
      </c>
      <c r="H51" s="83"/>
    </row>
    <row r="52" spans="1:8">
      <c r="A52" s="118" t="s">
        <v>267</v>
      </c>
      <c r="B52" s="533" t="s">
        <v>73</v>
      </c>
      <c r="C52" s="534"/>
      <c r="D52" s="435">
        <v>0</v>
      </c>
      <c r="E52" s="436">
        <f t="shared" si="6"/>
        <v>54</v>
      </c>
      <c r="F52" s="119">
        <f>ROUNDUP((32*ENR!$S$15),0)</f>
        <v>54</v>
      </c>
      <c r="G52" s="107">
        <f>ROUND($D52*$E52,-2)</f>
        <v>0</v>
      </c>
      <c r="H52" s="83"/>
    </row>
    <row r="53" spans="1:8">
      <c r="A53" s="118" t="s">
        <v>268</v>
      </c>
      <c r="B53" s="533" t="s">
        <v>73</v>
      </c>
      <c r="C53" s="534"/>
      <c r="D53" s="437">
        <v>0</v>
      </c>
      <c r="E53" s="438">
        <f t="shared" si="6"/>
        <v>81</v>
      </c>
      <c r="F53" s="119">
        <f>ROUNDUP((48*ENR!$S$15),0)</f>
        <v>81</v>
      </c>
      <c r="G53" s="107">
        <f>ROUND($D53*$E53,-2)</f>
        <v>0</v>
      </c>
      <c r="H53" s="83"/>
    </row>
    <row r="54" spans="1:8">
      <c r="A54" s="115" t="s">
        <v>271</v>
      </c>
      <c r="B54" s="117"/>
      <c r="C54" s="117"/>
      <c r="D54" s="121"/>
      <c r="E54" s="122"/>
      <c r="F54" s="122"/>
      <c r="G54" s="123"/>
      <c r="H54" s="83"/>
    </row>
    <row r="55" spans="1:8">
      <c r="A55" s="118" t="s">
        <v>266</v>
      </c>
      <c r="B55" s="533" t="s">
        <v>73</v>
      </c>
      <c r="C55" s="534"/>
      <c r="D55" s="433">
        <v>0</v>
      </c>
      <c r="E55" s="434">
        <f t="shared" ref="E55:E57" si="7">($F55)</f>
        <v>21</v>
      </c>
      <c r="F55" s="119">
        <f>ROUNDUP((12*ENR!$S$15),0)</f>
        <v>21</v>
      </c>
      <c r="G55" s="107">
        <f>ROUND($D55*$E55,-2)</f>
        <v>0</v>
      </c>
      <c r="H55" s="83"/>
    </row>
    <row r="56" spans="1:8">
      <c r="A56" s="118" t="s">
        <v>267</v>
      </c>
      <c r="B56" s="533" t="s">
        <v>73</v>
      </c>
      <c r="C56" s="534"/>
      <c r="D56" s="435">
        <v>0</v>
      </c>
      <c r="E56" s="436">
        <f t="shared" si="7"/>
        <v>36</v>
      </c>
      <c r="F56" s="119">
        <f>ROUNDUP((21*ENR!$S$15),0)</f>
        <v>36</v>
      </c>
      <c r="G56" s="107">
        <f>ROUND($D56*$E56,-2)</f>
        <v>0</v>
      </c>
      <c r="H56" s="83"/>
    </row>
    <row r="57" spans="1:8">
      <c r="A57" s="118" t="s">
        <v>268</v>
      </c>
      <c r="B57" s="533" t="s">
        <v>73</v>
      </c>
      <c r="C57" s="534"/>
      <c r="D57" s="437">
        <v>0</v>
      </c>
      <c r="E57" s="438">
        <f t="shared" si="7"/>
        <v>46</v>
      </c>
      <c r="F57" s="119">
        <f>ROUNDUP((27*ENR!$S$15),0)</f>
        <v>46</v>
      </c>
      <c r="G57" s="107">
        <f>ROUND($D57*$E57,-2)</f>
        <v>0</v>
      </c>
      <c r="H57" s="83"/>
    </row>
    <row r="58" spans="1:8">
      <c r="A58" s="83"/>
      <c r="B58" s="83"/>
      <c r="C58" s="83"/>
      <c r="D58" s="83"/>
      <c r="E58" s="83"/>
      <c r="F58" s="84" t="s">
        <v>29</v>
      </c>
      <c r="G58" s="111">
        <f>ROUND(SUM(G$41:G$44,G$46:G$49,G$51:G$53,G$55:G$57),-3)</f>
        <v>0</v>
      </c>
      <c r="H58" s="83"/>
    </row>
    <row r="59" spans="1:8">
      <c r="A59" s="83" t="s">
        <v>310</v>
      </c>
      <c r="B59" s="83"/>
      <c r="C59" s="83"/>
      <c r="D59" s="83"/>
      <c r="E59" s="83"/>
      <c r="F59" s="84"/>
      <c r="G59" s="124" t="str">
        <f>IF(AND($G$37&gt;0,$G$58&gt;0),"ERROR?","")</f>
        <v/>
      </c>
      <c r="H59" s="112">
        <f>($G$58)</f>
        <v>0</v>
      </c>
    </row>
    <row r="60" spans="1:8" ht="6" customHeight="1" thickBot="1">
      <c r="A60" s="83"/>
      <c r="B60" s="83"/>
      <c r="C60" s="83"/>
      <c r="D60" s="83"/>
      <c r="E60" s="83"/>
      <c r="F60" s="84"/>
      <c r="G60" s="93"/>
      <c r="H60" s="83"/>
    </row>
    <row r="61" spans="1:8" ht="13" thickBot="1">
      <c r="A61" s="125" t="s">
        <v>88</v>
      </c>
      <c r="B61" s="126"/>
      <c r="C61" s="126"/>
      <c r="D61" s="126"/>
      <c r="E61" s="126"/>
      <c r="F61" s="126"/>
      <c r="G61" s="127"/>
      <c r="H61" s="88">
        <f>ROUND(($H$26+$H$37+$H$59),-3)</f>
        <v>0</v>
      </c>
    </row>
    <row r="62" spans="1:8">
      <c r="A62" s="83" t="str">
        <f>$A$3</f>
        <v xml:space="preserve">PROJECT TITLE:  </v>
      </c>
      <c r="B62" s="87" t="str">
        <f>IF($B$3="","",$B$3)</f>
        <v>X</v>
      </c>
      <c r="C62" s="83"/>
      <c r="D62" s="83"/>
      <c r="E62" s="83"/>
      <c r="F62" s="83"/>
      <c r="G62" s="83"/>
      <c r="H62" s="83"/>
    </row>
    <row r="63" spans="1:8">
      <c r="A63" s="84" t="str">
        <f>(($A$61)&amp;" (from page 1)")</f>
        <v>NEW CONSTRUCTION &amp; REMODELING COST SUBTOTAL (from page 1)</v>
      </c>
      <c r="B63" s="83"/>
      <c r="C63" s="83"/>
      <c r="D63" s="87"/>
      <c r="E63" s="87"/>
      <c r="F63" s="87"/>
      <c r="G63" s="100"/>
      <c r="H63" s="107">
        <f>VALUE($H$61)</f>
        <v>0</v>
      </c>
    </row>
    <row r="64" spans="1:8">
      <c r="A64" s="85" t="s">
        <v>58</v>
      </c>
      <c r="B64" s="83"/>
      <c r="C64" s="83"/>
      <c r="D64" s="87"/>
      <c r="E64" s="87"/>
      <c r="F64" s="87"/>
      <c r="G64" s="85"/>
      <c r="H64" s="128"/>
    </row>
    <row r="65" spans="1:8" ht="6" customHeight="1">
      <c r="A65" s="83"/>
      <c r="B65" s="83"/>
      <c r="C65" s="83"/>
      <c r="D65" s="83"/>
      <c r="E65" s="83"/>
      <c r="F65" s="83"/>
      <c r="G65" s="83"/>
      <c r="H65" s="83"/>
    </row>
    <row r="66" spans="1:8">
      <c r="A66" s="114" t="s">
        <v>62</v>
      </c>
      <c r="B66" s="537" t="s">
        <v>63</v>
      </c>
      <c r="C66" s="537"/>
      <c r="D66" s="537"/>
      <c r="E66" s="129" t="s">
        <v>46</v>
      </c>
      <c r="F66" s="129" t="s">
        <v>49</v>
      </c>
      <c r="G66" s="129" t="s">
        <v>47</v>
      </c>
      <c r="H66" s="130" t="s">
        <v>48</v>
      </c>
    </row>
    <row r="67" spans="1:8">
      <c r="A67" s="131" t="s">
        <v>59</v>
      </c>
      <c r="B67" s="538" t="s">
        <v>90</v>
      </c>
      <c r="C67" s="538"/>
      <c r="D67" s="538"/>
      <c r="E67" s="390">
        <v>0</v>
      </c>
      <c r="F67" s="132" t="s">
        <v>27</v>
      </c>
      <c r="G67" s="350">
        <f>(15*ENR!$Y$15)</f>
        <v>21.149843370164376</v>
      </c>
      <c r="H67" s="357">
        <f>ROUND(($E$67*$G$67),-3)</f>
        <v>0</v>
      </c>
    </row>
    <row r="68" spans="1:8">
      <c r="A68" s="135"/>
      <c r="B68" s="136"/>
      <c r="C68" s="136"/>
      <c r="D68" s="136"/>
      <c r="E68" s="137"/>
      <c r="F68" s="138"/>
      <c r="G68" s="139"/>
      <c r="H68" s="111"/>
    </row>
    <row r="69" spans="1:8">
      <c r="A69" s="526" t="s">
        <v>100</v>
      </c>
      <c r="B69" s="527"/>
      <c r="C69" s="527"/>
      <c r="D69" s="527"/>
      <c r="E69" s="527"/>
      <c r="F69" s="527"/>
      <c r="G69" s="528"/>
      <c r="H69" s="140"/>
    </row>
    <row r="70" spans="1:8">
      <c r="A70" s="439"/>
      <c r="B70" s="440"/>
      <c r="C70" s="440"/>
      <c r="D70" s="440"/>
      <c r="E70" s="441"/>
      <c r="F70" s="442"/>
      <c r="G70" s="443"/>
      <c r="H70" s="140">
        <f>ROUND(($E70*$G70),-2)</f>
        <v>0</v>
      </c>
    </row>
    <row r="71" spans="1:8">
      <c r="A71" s="444"/>
      <c r="B71" s="440"/>
      <c r="C71" s="440"/>
      <c r="D71" s="440"/>
      <c r="E71" s="441"/>
      <c r="F71" s="442"/>
      <c r="G71" s="443"/>
      <c r="H71" s="140">
        <f t="shared" ref="H71:H103" si="8">ROUND(($E71*$G71),-2)</f>
        <v>0</v>
      </c>
    </row>
    <row r="72" spans="1:8">
      <c r="A72" s="445"/>
      <c r="B72" s="440"/>
      <c r="C72" s="440"/>
      <c r="D72" s="440"/>
      <c r="E72" s="441"/>
      <c r="F72" s="442"/>
      <c r="G72" s="443"/>
      <c r="H72" s="140">
        <f t="shared" si="8"/>
        <v>0</v>
      </c>
    </row>
    <row r="73" spans="1:8">
      <c r="A73" s="445"/>
      <c r="B73" s="440"/>
      <c r="C73" s="440"/>
      <c r="D73" s="440"/>
      <c r="E73" s="441"/>
      <c r="F73" s="442"/>
      <c r="G73" s="443"/>
      <c r="H73" s="140">
        <f t="shared" si="8"/>
        <v>0</v>
      </c>
    </row>
    <row r="74" spans="1:8">
      <c r="A74" s="446"/>
      <c r="B74" s="447"/>
      <c r="C74" s="448"/>
      <c r="D74" s="449"/>
      <c r="E74" s="450"/>
      <c r="F74" s="451"/>
      <c r="G74" s="452"/>
      <c r="H74" s="140">
        <f t="shared" si="8"/>
        <v>0</v>
      </c>
    </row>
    <row r="75" spans="1:8">
      <c r="A75" s="444"/>
      <c r="B75" s="453"/>
      <c r="C75" s="440"/>
      <c r="D75" s="454"/>
      <c r="E75" s="441"/>
      <c r="F75" s="442"/>
      <c r="G75" s="443"/>
      <c r="H75" s="140">
        <f t="shared" si="8"/>
        <v>0</v>
      </c>
    </row>
    <row r="76" spans="1:8">
      <c r="A76" s="445"/>
      <c r="B76" s="453"/>
      <c r="C76" s="440"/>
      <c r="D76" s="454"/>
      <c r="E76" s="441"/>
      <c r="F76" s="442"/>
      <c r="G76" s="443"/>
      <c r="H76" s="140">
        <f t="shared" si="8"/>
        <v>0</v>
      </c>
    </row>
    <row r="77" spans="1:8">
      <c r="A77" s="444"/>
      <c r="B77" s="453"/>
      <c r="C77" s="440"/>
      <c r="D77" s="454"/>
      <c r="E77" s="441"/>
      <c r="F77" s="442"/>
      <c r="G77" s="443"/>
      <c r="H77" s="140">
        <f t="shared" si="8"/>
        <v>0</v>
      </c>
    </row>
    <row r="78" spans="1:8">
      <c r="A78" s="444"/>
      <c r="B78" s="453"/>
      <c r="C78" s="440"/>
      <c r="D78" s="454"/>
      <c r="E78" s="441"/>
      <c r="F78" s="442"/>
      <c r="G78" s="443"/>
      <c r="H78" s="140">
        <f t="shared" si="8"/>
        <v>0</v>
      </c>
    </row>
    <row r="79" spans="1:8">
      <c r="A79" s="455"/>
      <c r="B79" s="447"/>
      <c r="C79" s="448"/>
      <c r="D79" s="449"/>
      <c r="E79" s="450"/>
      <c r="F79" s="451"/>
      <c r="G79" s="452"/>
      <c r="H79" s="140">
        <f t="shared" si="8"/>
        <v>0</v>
      </c>
    </row>
    <row r="80" spans="1:8">
      <c r="A80" s="445"/>
      <c r="B80" s="453"/>
      <c r="C80" s="440"/>
      <c r="D80" s="454"/>
      <c r="E80" s="441"/>
      <c r="F80" s="442"/>
      <c r="G80" s="443"/>
      <c r="H80" s="140">
        <f t="shared" si="8"/>
        <v>0</v>
      </c>
    </row>
    <row r="81" spans="1:8">
      <c r="A81" s="445"/>
      <c r="B81" s="453"/>
      <c r="C81" s="440"/>
      <c r="D81" s="454"/>
      <c r="E81" s="441"/>
      <c r="F81" s="442"/>
      <c r="G81" s="443"/>
      <c r="H81" s="140">
        <f t="shared" si="8"/>
        <v>0</v>
      </c>
    </row>
    <row r="82" spans="1:8">
      <c r="A82" s="445"/>
      <c r="B82" s="453"/>
      <c r="C82" s="440"/>
      <c r="D82" s="454"/>
      <c r="E82" s="441"/>
      <c r="F82" s="442"/>
      <c r="G82" s="443"/>
      <c r="H82" s="140">
        <f t="shared" si="8"/>
        <v>0</v>
      </c>
    </row>
    <row r="83" spans="1:8">
      <c r="A83" s="445"/>
      <c r="B83" s="453"/>
      <c r="C83" s="440"/>
      <c r="D83" s="454"/>
      <c r="E83" s="441"/>
      <c r="F83" s="442"/>
      <c r="G83" s="443"/>
      <c r="H83" s="140">
        <f t="shared" si="8"/>
        <v>0</v>
      </c>
    </row>
    <row r="84" spans="1:8">
      <c r="A84" s="455"/>
      <c r="B84" s="447"/>
      <c r="C84" s="448"/>
      <c r="D84" s="449"/>
      <c r="E84" s="450"/>
      <c r="F84" s="451"/>
      <c r="G84" s="452"/>
      <c r="H84" s="140">
        <f t="shared" si="8"/>
        <v>0</v>
      </c>
    </row>
    <row r="85" spans="1:8">
      <c r="A85" s="445"/>
      <c r="B85" s="453"/>
      <c r="C85" s="440"/>
      <c r="D85" s="454"/>
      <c r="E85" s="441"/>
      <c r="F85" s="442"/>
      <c r="G85" s="443"/>
      <c r="H85" s="140">
        <f t="shared" si="8"/>
        <v>0</v>
      </c>
    </row>
    <row r="86" spans="1:8">
      <c r="A86" s="445"/>
      <c r="B86" s="453"/>
      <c r="C86" s="440"/>
      <c r="D86" s="454"/>
      <c r="E86" s="441"/>
      <c r="F86" s="442"/>
      <c r="G86" s="443"/>
      <c r="H86" s="140">
        <f t="shared" si="8"/>
        <v>0</v>
      </c>
    </row>
    <row r="87" spans="1:8">
      <c r="A87" s="445"/>
      <c r="B87" s="453"/>
      <c r="C87" s="440"/>
      <c r="D87" s="454"/>
      <c r="E87" s="441"/>
      <c r="F87" s="442"/>
      <c r="G87" s="443"/>
      <c r="H87" s="140">
        <f t="shared" si="8"/>
        <v>0</v>
      </c>
    </row>
    <row r="88" spans="1:8">
      <c r="A88" s="445"/>
      <c r="B88" s="453"/>
      <c r="C88" s="440"/>
      <c r="D88" s="454"/>
      <c r="E88" s="441"/>
      <c r="F88" s="442"/>
      <c r="G88" s="443"/>
      <c r="H88" s="140">
        <f t="shared" si="8"/>
        <v>0</v>
      </c>
    </row>
    <row r="89" spans="1:8">
      <c r="A89" s="455"/>
      <c r="B89" s="447"/>
      <c r="C89" s="448"/>
      <c r="D89" s="449"/>
      <c r="E89" s="450"/>
      <c r="F89" s="451"/>
      <c r="G89" s="452"/>
      <c r="H89" s="140">
        <f t="shared" si="8"/>
        <v>0</v>
      </c>
    </row>
    <row r="90" spans="1:8">
      <c r="A90" s="445"/>
      <c r="B90" s="453"/>
      <c r="C90" s="440"/>
      <c r="D90" s="454"/>
      <c r="E90" s="441"/>
      <c r="F90" s="442"/>
      <c r="G90" s="443"/>
      <c r="H90" s="140">
        <f t="shared" si="8"/>
        <v>0</v>
      </c>
    </row>
    <row r="91" spans="1:8">
      <c r="A91" s="445"/>
      <c r="B91" s="453"/>
      <c r="C91" s="440"/>
      <c r="D91" s="454"/>
      <c r="E91" s="441"/>
      <c r="F91" s="442"/>
      <c r="G91" s="443"/>
      <c r="H91" s="140">
        <f t="shared" si="8"/>
        <v>0</v>
      </c>
    </row>
    <row r="92" spans="1:8">
      <c r="A92" s="445"/>
      <c r="B92" s="453"/>
      <c r="C92" s="440"/>
      <c r="D92" s="454"/>
      <c r="E92" s="441"/>
      <c r="F92" s="442"/>
      <c r="G92" s="443"/>
      <c r="H92" s="140">
        <f t="shared" si="8"/>
        <v>0</v>
      </c>
    </row>
    <row r="93" spans="1:8">
      <c r="A93" s="445"/>
      <c r="B93" s="453"/>
      <c r="C93" s="440"/>
      <c r="D93" s="454"/>
      <c r="E93" s="441"/>
      <c r="F93" s="442"/>
      <c r="G93" s="443"/>
      <c r="H93" s="140">
        <f t="shared" si="8"/>
        <v>0</v>
      </c>
    </row>
    <row r="94" spans="1:8">
      <c r="A94" s="455"/>
      <c r="B94" s="447"/>
      <c r="C94" s="448"/>
      <c r="D94" s="449"/>
      <c r="E94" s="450"/>
      <c r="F94" s="451"/>
      <c r="G94" s="452"/>
      <c r="H94" s="140">
        <f t="shared" si="8"/>
        <v>0</v>
      </c>
    </row>
    <row r="95" spans="1:8">
      <c r="A95" s="445"/>
      <c r="B95" s="453"/>
      <c r="C95" s="440"/>
      <c r="D95" s="454"/>
      <c r="E95" s="441"/>
      <c r="F95" s="442"/>
      <c r="G95" s="443"/>
      <c r="H95" s="140">
        <f t="shared" si="8"/>
        <v>0</v>
      </c>
    </row>
    <row r="96" spans="1:8">
      <c r="A96" s="445"/>
      <c r="B96" s="453"/>
      <c r="C96" s="440"/>
      <c r="D96" s="454"/>
      <c r="E96" s="441"/>
      <c r="F96" s="442"/>
      <c r="G96" s="443"/>
      <c r="H96" s="140">
        <f t="shared" si="8"/>
        <v>0</v>
      </c>
    </row>
    <row r="97" spans="1:8">
      <c r="A97" s="445"/>
      <c r="B97" s="453"/>
      <c r="C97" s="440"/>
      <c r="D97" s="454"/>
      <c r="E97" s="441"/>
      <c r="F97" s="442"/>
      <c r="G97" s="443"/>
      <c r="H97" s="140">
        <f t="shared" si="8"/>
        <v>0</v>
      </c>
    </row>
    <row r="98" spans="1:8">
      <c r="A98" s="445"/>
      <c r="B98" s="453"/>
      <c r="C98" s="440"/>
      <c r="D98" s="454"/>
      <c r="E98" s="441"/>
      <c r="F98" s="442"/>
      <c r="G98" s="443"/>
      <c r="H98" s="140">
        <f t="shared" si="8"/>
        <v>0</v>
      </c>
    </row>
    <row r="99" spans="1:8">
      <c r="A99" s="455"/>
      <c r="B99" s="447"/>
      <c r="C99" s="448"/>
      <c r="D99" s="449"/>
      <c r="E99" s="450"/>
      <c r="F99" s="451"/>
      <c r="G99" s="452"/>
      <c r="H99" s="140">
        <f t="shared" si="8"/>
        <v>0</v>
      </c>
    </row>
    <row r="100" spans="1:8">
      <c r="A100" s="444"/>
      <c r="B100" s="453"/>
      <c r="C100" s="440"/>
      <c r="D100" s="454"/>
      <c r="E100" s="441"/>
      <c r="F100" s="442"/>
      <c r="G100" s="443"/>
      <c r="H100" s="140">
        <f t="shared" si="8"/>
        <v>0</v>
      </c>
    </row>
    <row r="101" spans="1:8">
      <c r="A101" s="444"/>
      <c r="B101" s="453"/>
      <c r="C101" s="440"/>
      <c r="D101" s="454"/>
      <c r="E101" s="441"/>
      <c r="F101" s="442"/>
      <c r="G101" s="443"/>
      <c r="H101" s="140">
        <f t="shared" si="8"/>
        <v>0</v>
      </c>
    </row>
    <row r="102" spans="1:8">
      <c r="A102" s="445"/>
      <c r="B102" s="453"/>
      <c r="C102" s="440"/>
      <c r="D102" s="454"/>
      <c r="E102" s="441"/>
      <c r="F102" s="442"/>
      <c r="G102" s="443"/>
      <c r="H102" s="140">
        <f t="shared" si="8"/>
        <v>0</v>
      </c>
    </row>
    <row r="103" spans="1:8">
      <c r="A103" s="456"/>
      <c r="B103" s="457"/>
      <c r="C103" s="458"/>
      <c r="D103" s="459"/>
      <c r="E103" s="460"/>
      <c r="F103" s="461"/>
      <c r="G103" s="462"/>
      <c r="H103" s="140">
        <f t="shared" si="8"/>
        <v>0</v>
      </c>
    </row>
    <row r="104" spans="1:8">
      <c r="A104" s="532" t="s">
        <v>58</v>
      </c>
      <c r="B104" s="532"/>
      <c r="C104" s="532"/>
      <c r="D104" s="532"/>
      <c r="E104" s="532"/>
      <c r="F104" s="532"/>
      <c r="G104" s="532"/>
      <c r="H104" s="112">
        <f>ROUND(SUM(H$70:H$103),-3)</f>
        <v>0</v>
      </c>
    </row>
    <row r="105" spans="1:8">
      <c r="A105" s="141"/>
      <c r="B105" s="525"/>
      <c r="C105" s="525"/>
      <c r="D105" s="525"/>
      <c r="E105" s="142"/>
      <c r="F105" s="143"/>
      <c r="G105" s="144"/>
      <c r="H105" s="140"/>
    </row>
    <row r="106" spans="1:8">
      <c r="A106" s="526" t="s">
        <v>80</v>
      </c>
      <c r="B106" s="527"/>
      <c r="C106" s="527"/>
      <c r="D106" s="527"/>
      <c r="E106" s="527"/>
      <c r="F106" s="527"/>
      <c r="G106" s="528"/>
      <c r="H106" s="140"/>
    </row>
    <row r="107" spans="1:8">
      <c r="A107" s="439"/>
      <c r="B107" s="518"/>
      <c r="C107" s="518"/>
      <c r="D107" s="518"/>
      <c r="E107" s="463"/>
      <c r="F107" s="464"/>
      <c r="G107" s="465"/>
      <c r="H107" s="140">
        <f t="shared" ref="H107:H112" si="9">ROUND(($E107*$G107),-2)</f>
        <v>0</v>
      </c>
    </row>
    <row r="108" spans="1:8">
      <c r="A108" s="439"/>
      <c r="B108" s="523"/>
      <c r="C108" s="518"/>
      <c r="D108" s="524"/>
      <c r="E108" s="463"/>
      <c r="F108" s="464"/>
      <c r="G108" s="465"/>
      <c r="H108" s="140">
        <f t="shared" si="9"/>
        <v>0</v>
      </c>
    </row>
    <row r="109" spans="1:8">
      <c r="A109" s="466"/>
      <c r="B109" s="529"/>
      <c r="C109" s="530"/>
      <c r="D109" s="531"/>
      <c r="E109" s="467"/>
      <c r="F109" s="468"/>
      <c r="G109" s="469"/>
      <c r="H109" s="140">
        <f t="shared" si="9"/>
        <v>0</v>
      </c>
    </row>
    <row r="110" spans="1:8">
      <c r="A110" s="439"/>
      <c r="B110" s="523"/>
      <c r="C110" s="518"/>
      <c r="D110" s="524"/>
      <c r="E110" s="463"/>
      <c r="F110" s="464"/>
      <c r="G110" s="465"/>
      <c r="H110" s="140">
        <f t="shared" si="9"/>
        <v>0</v>
      </c>
    </row>
    <row r="111" spans="1:8">
      <c r="A111" s="439"/>
      <c r="B111" s="518"/>
      <c r="C111" s="518"/>
      <c r="D111" s="518"/>
      <c r="E111" s="463"/>
      <c r="F111" s="464"/>
      <c r="G111" s="465"/>
      <c r="H111" s="140">
        <f t="shared" si="9"/>
        <v>0</v>
      </c>
    </row>
    <row r="112" spans="1:8">
      <c r="A112" s="470"/>
      <c r="B112" s="519"/>
      <c r="C112" s="519"/>
      <c r="D112" s="519"/>
      <c r="E112" s="471"/>
      <c r="F112" s="472"/>
      <c r="G112" s="473"/>
      <c r="H112" s="140">
        <f t="shared" si="9"/>
        <v>0</v>
      </c>
    </row>
    <row r="113" spans="1:8">
      <c r="A113" s="520" t="s">
        <v>83</v>
      </c>
      <c r="B113" s="520"/>
      <c r="C113" s="520"/>
      <c r="D113" s="520"/>
      <c r="E113" s="520"/>
      <c r="F113" s="520"/>
      <c r="G113" s="521"/>
      <c r="H113" s="112">
        <f>ROUND(SUM(H$107:H$112),-3)</f>
        <v>0</v>
      </c>
    </row>
    <row r="114" spans="1:8">
      <c r="A114" s="85"/>
      <c r="B114" s="83"/>
      <c r="C114" s="83"/>
      <c r="D114" s="83"/>
      <c r="E114" s="145"/>
      <c r="F114" s="83"/>
      <c r="G114" s="100"/>
      <c r="H114" s="107"/>
    </row>
    <row r="115" spans="1:8">
      <c r="A115" s="85" t="s">
        <v>86</v>
      </c>
      <c r="B115" s="83"/>
      <c r="C115" s="83"/>
      <c r="D115" s="83"/>
      <c r="E115" s="145"/>
      <c r="F115" s="83"/>
      <c r="G115" s="100"/>
      <c r="H115" s="112">
        <f>SUM($H$67,$H$104,$H$113)</f>
        <v>0</v>
      </c>
    </row>
    <row r="116" spans="1:8" ht="13" thickBot="1">
      <c r="A116" s="83"/>
      <c r="B116" s="83"/>
      <c r="C116" s="83"/>
      <c r="D116" s="83"/>
      <c r="E116" s="83"/>
      <c r="F116" s="83"/>
      <c r="G116" s="83"/>
      <c r="H116" s="93"/>
    </row>
    <row r="117" spans="1:8" ht="13" thickBot="1">
      <c r="A117" s="125" t="s">
        <v>87</v>
      </c>
      <c r="B117" s="126"/>
      <c r="C117" s="126"/>
      <c r="D117" s="126"/>
      <c r="E117" s="126"/>
      <c r="F117" s="125"/>
      <c r="G117" s="127"/>
      <c r="H117" s="88">
        <f>ROUND(SUM($H$63,$H$115),-3)</f>
        <v>0</v>
      </c>
    </row>
    <row r="118" spans="1:8">
      <c r="A118" s="85"/>
      <c r="B118" s="87"/>
      <c r="C118" s="87"/>
      <c r="D118" s="87"/>
      <c r="E118" s="87"/>
      <c r="F118" s="85"/>
      <c r="G118" s="146"/>
      <c r="H118" s="147"/>
    </row>
    <row r="119" spans="1:8">
      <c r="A119" s="84" t="s">
        <v>60</v>
      </c>
      <c r="B119" s="83" t="s">
        <v>61</v>
      </c>
      <c r="C119" s="83"/>
      <c r="D119" s="83"/>
      <c r="E119" s="390">
        <v>0</v>
      </c>
      <c r="F119" s="391" t="s">
        <v>94</v>
      </c>
      <c r="G119" s="392">
        <v>0</v>
      </c>
      <c r="H119" s="336">
        <f>ROUND(($E$119*$G$119),-3)</f>
        <v>0</v>
      </c>
    </row>
    <row r="120" spans="1:8">
      <c r="A120" s="85"/>
      <c r="B120" s="87"/>
      <c r="C120" s="87"/>
      <c r="D120" s="87"/>
      <c r="E120" s="87"/>
      <c r="F120" s="85"/>
      <c r="G120" s="146"/>
      <c r="H120" s="147"/>
    </row>
    <row r="121" spans="1:8">
      <c r="A121" s="83" t="str">
        <f>$A$3</f>
        <v xml:space="preserve">PROJECT TITLE:  </v>
      </c>
      <c r="B121" s="87" t="str">
        <f>IF($B$3="","",$B$3)</f>
        <v>X</v>
      </c>
      <c r="C121" s="83"/>
      <c r="D121" s="83"/>
      <c r="E121" s="83"/>
      <c r="F121" s="83"/>
      <c r="G121" s="83"/>
      <c r="H121" s="83"/>
    </row>
    <row r="122" spans="1:8">
      <c r="A122" s="84" t="str">
        <f>(($A$117)&amp;" (from page 2)")</f>
        <v>CONSTRUCTION &amp; REMODELING COST SUBTOTAL (from page 2)</v>
      </c>
      <c r="B122" s="83"/>
      <c r="C122" s="83"/>
      <c r="D122" s="87"/>
      <c r="E122" s="87"/>
      <c r="F122" s="87"/>
      <c r="G122" s="100"/>
      <c r="H122" s="112">
        <f>($H$117)</f>
        <v>0</v>
      </c>
    </row>
    <row r="123" spans="1:8" ht="13" thickBot="1">
      <c r="A123" s="84"/>
      <c r="B123" s="83"/>
      <c r="C123" s="83"/>
      <c r="D123" s="87"/>
      <c r="E123" s="87"/>
      <c r="F123" s="87"/>
      <c r="G123" s="146"/>
      <c r="H123" s="93"/>
    </row>
    <row r="124" spans="1:8" ht="13" thickBot="1">
      <c r="A124" s="148" t="s">
        <v>57</v>
      </c>
      <c r="B124" s="149"/>
      <c r="C124" s="149"/>
      <c r="D124" s="126"/>
      <c r="E124" s="126"/>
      <c r="F124" s="126"/>
      <c r="G124" s="337"/>
      <c r="H124" s="88">
        <f>ROUND(($E$135+$E$137),-3)</f>
        <v>0</v>
      </c>
    </row>
    <row r="125" spans="1:8">
      <c r="A125" s="150" t="s">
        <v>246</v>
      </c>
      <c r="B125" s="83"/>
      <c r="C125" s="151"/>
      <c r="D125" s="87"/>
      <c r="E125" s="107">
        <f>($H$61)</f>
        <v>0</v>
      </c>
      <c r="F125" s="87"/>
      <c r="G125" s="100"/>
      <c r="H125" s="93"/>
    </row>
    <row r="126" spans="1:8">
      <c r="A126" s="150" t="s">
        <v>247</v>
      </c>
      <c r="B126" s="83"/>
      <c r="C126" s="151"/>
      <c r="D126" s="87"/>
      <c r="E126" s="107">
        <f>($H$67)</f>
        <v>0</v>
      </c>
      <c r="F126" s="87"/>
      <c r="G126" s="100"/>
      <c r="H126" s="93"/>
    </row>
    <row r="127" spans="1:8">
      <c r="A127" s="150" t="s">
        <v>248</v>
      </c>
      <c r="B127" s="83"/>
      <c r="C127" s="151"/>
      <c r="D127" s="87"/>
      <c r="E127" s="107">
        <f>($H$104)</f>
        <v>0</v>
      </c>
      <c r="F127" s="87"/>
      <c r="G127" s="100"/>
      <c r="H127" s="93"/>
    </row>
    <row r="128" spans="1:8">
      <c r="A128" s="150" t="s">
        <v>249</v>
      </c>
      <c r="B128" s="83"/>
      <c r="C128" s="151"/>
      <c r="D128" s="87"/>
      <c r="E128" s="152">
        <f>($H$113)</f>
        <v>0</v>
      </c>
      <c r="F128" s="87"/>
      <c r="G128" s="100"/>
      <c r="H128" s="93"/>
    </row>
    <row r="129" spans="1:8">
      <c r="A129" s="150" t="s">
        <v>250</v>
      </c>
      <c r="B129" s="83"/>
      <c r="C129" s="151"/>
      <c r="D129" s="87"/>
      <c r="E129" s="107">
        <f>($H$117)</f>
        <v>0</v>
      </c>
      <c r="F129" s="87"/>
      <c r="G129" s="100"/>
      <c r="H129" s="93"/>
    </row>
    <row r="130" spans="1:8">
      <c r="A130" s="150" t="s">
        <v>77</v>
      </c>
      <c r="B130" s="83"/>
      <c r="C130" s="386">
        <v>0</v>
      </c>
      <c r="D130" s="107">
        <f>($H$122)</f>
        <v>0</v>
      </c>
      <c r="E130" s="107">
        <f>ROUND(($C$130*$D$130),-2)</f>
        <v>0</v>
      </c>
      <c r="F130" s="87"/>
      <c r="G130" s="100"/>
      <c r="H130" s="93"/>
    </row>
    <row r="131" spans="1:8">
      <c r="A131" s="150" t="s">
        <v>277</v>
      </c>
      <c r="B131" s="83"/>
      <c r="C131" s="387">
        <v>0</v>
      </c>
      <c r="D131" s="107">
        <f>($H$122)</f>
        <v>0</v>
      </c>
      <c r="E131" s="107">
        <f>ROUND(($C$131*$D$131),-2)</f>
        <v>0</v>
      </c>
      <c r="F131" s="87"/>
      <c r="G131" s="100"/>
      <c r="H131" s="93"/>
    </row>
    <row r="132" spans="1:8">
      <c r="A132" s="150" t="s">
        <v>78</v>
      </c>
      <c r="B132" s="83"/>
      <c r="C132" s="386">
        <v>0</v>
      </c>
      <c r="D132" s="107">
        <f>($H$122)</f>
        <v>0</v>
      </c>
      <c r="E132" s="107">
        <f>ROUND(($C$132*$D$132),-2)</f>
        <v>0</v>
      </c>
      <c r="F132" s="87"/>
      <c r="G132" s="100"/>
      <c r="H132" s="93"/>
    </row>
    <row r="133" spans="1:8">
      <c r="A133" s="150" t="s">
        <v>251</v>
      </c>
      <c r="B133" s="83"/>
      <c r="C133" s="151"/>
      <c r="D133" s="87"/>
      <c r="E133" s="152">
        <f>($H$119)</f>
        <v>0</v>
      </c>
      <c r="F133" s="87"/>
      <c r="H133" s="93"/>
    </row>
    <row r="134" spans="1:8">
      <c r="A134" s="150" t="s">
        <v>252</v>
      </c>
      <c r="B134" s="83"/>
      <c r="C134" s="297" t="s">
        <v>304</v>
      </c>
      <c r="D134" s="87"/>
      <c r="E134" s="107">
        <f>SUM(E$129:E$133)</f>
        <v>0</v>
      </c>
      <c r="F134" s="87"/>
      <c r="G134" s="97" t="s">
        <v>320</v>
      </c>
      <c r="H134" s="93"/>
    </row>
    <row r="135" spans="1:8">
      <c r="A135" s="150" t="s">
        <v>303</v>
      </c>
      <c r="B135" s="83"/>
      <c r="C135" s="311">
        <f>IF($G$135="NO INFLATION",1,IF($G$135="2025-27 CBR",ENR!$L$7,(ENR)))</f>
        <v>1.2832258149353633</v>
      </c>
      <c r="D135" s="107">
        <f>($E$134)</f>
        <v>0</v>
      </c>
      <c r="E135" s="107">
        <f>ROUND(($D$135*$C$135),-2)</f>
        <v>0</v>
      </c>
      <c r="F135" s="87"/>
      <c r="G135" s="316" t="s">
        <v>317</v>
      </c>
      <c r="H135" s="93"/>
    </row>
    <row r="136" spans="1:8">
      <c r="A136" s="150"/>
      <c r="B136" s="83"/>
      <c r="C136" s="153"/>
      <c r="D136" s="107"/>
      <c r="E136" s="107"/>
      <c r="F136" s="87"/>
      <c r="G136" s="97" t="s">
        <v>308</v>
      </c>
      <c r="H136" s="93"/>
    </row>
    <row r="137" spans="1:8">
      <c r="A137" s="150" t="s">
        <v>302</v>
      </c>
      <c r="B137" s="83"/>
      <c r="C137" s="386">
        <f>(LOOKUPS!$M$2)</f>
        <v>0.01</v>
      </c>
      <c r="D137" s="107">
        <f>($E$135)</f>
        <v>0</v>
      </c>
      <c r="E137" s="107">
        <f>IF($D$137&gt;$G$137,ROUND(($D$137*$C$137),-2),0)</f>
        <v>0</v>
      </c>
      <c r="F137" s="87"/>
      <c r="G137" s="474">
        <f>(LOOKUPS!$M$3)</f>
        <v>21250000</v>
      </c>
      <c r="H137" s="93"/>
    </row>
    <row r="138" spans="1:8" ht="13" thickBot="1">
      <c r="A138" s="84"/>
      <c r="B138" s="83"/>
      <c r="C138" s="83"/>
      <c r="D138" s="87"/>
      <c r="E138" s="87"/>
      <c r="F138" s="83"/>
      <c r="G138" s="100"/>
      <c r="H138" s="93"/>
    </row>
    <row r="139" spans="1:8" ht="13" thickBot="1">
      <c r="A139" s="148" t="s">
        <v>54</v>
      </c>
      <c r="B139" s="149"/>
      <c r="C139" s="149"/>
      <c r="D139" s="123"/>
      <c r="E139" s="123"/>
      <c r="F139" s="154"/>
      <c r="G139" s="339" t="str">
        <f>IF($H$139=0,"",($H$139/TOTCONST))</f>
        <v/>
      </c>
      <c r="H139" s="88">
        <f>ROUND(SUM($E$142:$E$144),-3)</f>
        <v>0</v>
      </c>
    </row>
    <row r="140" spans="1:8">
      <c r="A140" s="150" t="s">
        <v>377</v>
      </c>
      <c r="B140" s="83"/>
      <c r="C140" s="393"/>
      <c r="D140" s="395">
        <f>IF($C$140="",0,IF($C$141="",0,IF(AND($C$140="CONSTRUCTION",$C$141="LOW"),VLOOKUP($E$134,DESIGN_FEES[],3,TRUE),IF(AND($C$140="CONSTRUCTION",$C$141="AVERAGE"),VLOOKUP($E$134,DESIGN_FEES[],4,TRUE),IF(AND($C$140="CONSTRUCTION",$C$141="HIGH"),VLOOKUP($E$134,DESIGN_FEES[],5,TRUE),IF(AND($C$140="RENOVATION",$C$141="LOW"),VLOOKUP($E$134,DESIGN_FEES[],7,TRUE),IF(AND($C$140="RENOVATION",$C$141="AVERAGE"),VLOOKUP($E$134,DESIGN_FEES[],8,TRUE),IF(AND($C$140="RENOVATION",$C$141="HIGH"),VLOOKUP($E$134,DESIGN_FEES[],9,TRUE),"X"))))))))</f>
        <v>0</v>
      </c>
      <c r="E140" s="93"/>
      <c r="F140" s="84"/>
      <c r="G140" s="385"/>
      <c r="H140" s="165"/>
    </row>
    <row r="141" spans="1:8">
      <c r="A141" s="150" t="s">
        <v>378</v>
      </c>
      <c r="B141" s="83"/>
      <c r="C141" s="393"/>
      <c r="D141" s="93"/>
      <c r="E141" s="93"/>
      <c r="F141" s="84"/>
      <c r="G141" s="385"/>
      <c r="H141" s="165"/>
    </row>
    <row r="142" spans="1:8">
      <c r="A142" s="150" t="s">
        <v>253</v>
      </c>
      <c r="B142" s="83"/>
      <c r="C142" s="386">
        <f>IF($C$140="",0,IF($C$141="",0,IF(AND($C$140="CONSTRUCTION",$C$141="LOW"),VLOOKUP($E$134,DESIGN_FEES[],3,TRUE),IF(AND($C$140="CONSTRUCTION",$C$141="AVERAGE"),VLOOKUP($E$134,DESIGN_FEES[],4,TRUE),IF(AND($C$140="CONSTRUCTION",$C$141="HIGH"),VLOOKUP($E$134,DESIGN_FEES[],5,TRUE),IF(AND($C$140="RENOVATION",$C$141="LOW"),VLOOKUP($E$134,DESIGN_FEES[],7,TRUE),IF(AND($C$140="RENOVATION",$C$141="AVERAGE"),VLOOKUP($E$134,DESIGN_FEES[],8,TRUE),IF(AND($C$140="RENOVATION",$C$141="HIGH"),VLOOKUP($E$134,DESIGN_FEES[],9,TRUE),"X"))))))))</f>
        <v>0</v>
      </c>
      <c r="D142" s="107">
        <f>($H$124)</f>
        <v>0</v>
      </c>
      <c r="E142" s="107">
        <f>IF($E$143&gt;0,0,((ROUND(($C142*$D$142),-2))))</f>
        <v>0</v>
      </c>
      <c r="F142" s="84"/>
      <c r="G142" s="83"/>
      <c r="H142" s="93"/>
    </row>
    <row r="143" spans="1:8">
      <c r="A143" s="150" t="s">
        <v>254</v>
      </c>
      <c r="B143" s="83"/>
      <c r="C143" s="155" t="str">
        <f>IF($E$143=0,"",($E$143/TOTCONST))</f>
        <v/>
      </c>
      <c r="D143" s="93"/>
      <c r="E143" s="474">
        <v>0</v>
      </c>
      <c r="F143" s="84"/>
      <c r="G143" s="83"/>
      <c r="H143" s="93"/>
    </row>
    <row r="144" spans="1:8">
      <c r="A144" s="150" t="s">
        <v>255</v>
      </c>
      <c r="B144" s="83"/>
      <c r="C144" s="386">
        <v>0</v>
      </c>
      <c r="D144" s="107">
        <f>($E$142+$E$143)</f>
        <v>0</v>
      </c>
      <c r="E144" s="107">
        <f>ROUND($C144*D$144,-2)</f>
        <v>0</v>
      </c>
      <c r="F144" s="86"/>
      <c r="G144" s="83"/>
      <c r="H144" s="93"/>
    </row>
    <row r="145" spans="1:8" ht="13" thickBot="1">
      <c r="A145" s="84"/>
      <c r="B145" s="83"/>
      <c r="C145" s="151"/>
      <c r="D145" s="93"/>
      <c r="E145" s="95"/>
      <c r="F145" s="83"/>
      <c r="G145" s="83"/>
      <c r="H145" s="93"/>
    </row>
    <row r="146" spans="1:8" ht="13" thickBot="1">
      <c r="A146" s="148" t="s">
        <v>55</v>
      </c>
      <c r="B146" s="149"/>
      <c r="C146" s="157"/>
      <c r="D146" s="123"/>
      <c r="E146" s="158"/>
      <c r="F146" s="149"/>
      <c r="G146" s="339" t="str">
        <f>IF($H$146=0,"",($H$146/TOTCONST))</f>
        <v/>
      </c>
      <c r="H146" s="88">
        <f>ROUND(SUM($E$147:$E$157),-3)</f>
        <v>0</v>
      </c>
    </row>
    <row r="147" spans="1:8">
      <c r="A147" s="150" t="s">
        <v>256</v>
      </c>
      <c r="B147" s="83"/>
      <c r="C147" s="386">
        <v>0</v>
      </c>
      <c r="D147" s="107">
        <f>($H$124)</f>
        <v>0</v>
      </c>
      <c r="E147" s="107">
        <f>ROUND(($C147*$D$147),-2)</f>
        <v>0</v>
      </c>
      <c r="F147" s="84"/>
      <c r="G147" s="83"/>
      <c r="H147" s="93"/>
    </row>
    <row r="148" spans="1:8">
      <c r="A148" s="150" t="s">
        <v>274</v>
      </c>
      <c r="B148" s="83"/>
      <c r="C148" s="151"/>
      <c r="D148" s="93"/>
      <c r="E148" s="474">
        <v>0</v>
      </c>
      <c r="F148" s="83"/>
      <c r="G148" s="83"/>
      <c r="H148" s="93"/>
    </row>
    <row r="149" spans="1:8">
      <c r="A149" s="150" t="s">
        <v>257</v>
      </c>
      <c r="B149" s="83"/>
      <c r="C149" s="388">
        <v>0</v>
      </c>
      <c r="D149" s="107">
        <f>($H$124)</f>
        <v>0</v>
      </c>
      <c r="E149" s="107">
        <f>ROUND(($C$149*$D$149),-2)</f>
        <v>0</v>
      </c>
      <c r="F149" s="83"/>
      <c r="G149" s="83"/>
      <c r="H149" s="93"/>
    </row>
    <row r="150" spans="1:8">
      <c r="A150" s="522" t="s">
        <v>258</v>
      </c>
      <c r="B150" s="522"/>
      <c r="C150" s="159"/>
      <c r="D150" s="93"/>
      <c r="E150" s="171">
        <v>0</v>
      </c>
      <c r="F150" s="83"/>
      <c r="G150" s="83"/>
      <c r="H150" s="93"/>
    </row>
    <row r="151" spans="1:8">
      <c r="A151" s="522" t="s">
        <v>259</v>
      </c>
      <c r="B151" s="522"/>
      <c r="C151" s="151"/>
      <c r="D151" s="93"/>
      <c r="E151" s="172">
        <v>0</v>
      </c>
      <c r="F151" s="83"/>
      <c r="G151" s="83"/>
      <c r="H151" s="93"/>
    </row>
    <row r="152" spans="1:8">
      <c r="A152" s="522" t="s">
        <v>260</v>
      </c>
      <c r="B152" s="522"/>
      <c r="C152" s="151"/>
      <c r="D152" s="93"/>
      <c r="E152" s="172">
        <v>0</v>
      </c>
      <c r="F152" s="83"/>
      <c r="G152" s="83"/>
      <c r="H152" s="93"/>
    </row>
    <row r="153" spans="1:8">
      <c r="A153" s="522" t="s">
        <v>322</v>
      </c>
      <c r="B153" s="522"/>
      <c r="C153" s="522"/>
      <c r="D153" s="93"/>
      <c r="E153" s="172">
        <v>0</v>
      </c>
      <c r="F153" s="83"/>
      <c r="G153" s="83"/>
      <c r="H153" s="93"/>
    </row>
    <row r="154" spans="1:8">
      <c r="A154" s="522" t="s">
        <v>323</v>
      </c>
      <c r="B154" s="522"/>
      <c r="C154" s="522"/>
      <c r="D154" s="93"/>
      <c r="E154" s="172">
        <v>0</v>
      </c>
      <c r="F154" s="83"/>
      <c r="G154" s="83"/>
      <c r="H154" s="93"/>
    </row>
    <row r="155" spans="1:8">
      <c r="A155" s="522" t="s">
        <v>324</v>
      </c>
      <c r="B155" s="522"/>
      <c r="C155" s="522"/>
      <c r="D155" s="93"/>
      <c r="E155" s="172">
        <v>0</v>
      </c>
      <c r="F155" s="83"/>
      <c r="G155" s="83"/>
      <c r="H155" s="93"/>
    </row>
    <row r="156" spans="1:8">
      <c r="A156" s="522" t="s">
        <v>325</v>
      </c>
      <c r="B156" s="522"/>
      <c r="C156" s="522"/>
      <c r="D156" s="93"/>
      <c r="E156" s="173">
        <v>0</v>
      </c>
      <c r="F156" s="83"/>
      <c r="G156" s="83"/>
      <c r="H156" s="93"/>
    </row>
    <row r="157" spans="1:8">
      <c r="A157" s="150" t="s">
        <v>261</v>
      </c>
      <c r="B157" s="83"/>
      <c r="C157" s="388">
        <v>0</v>
      </c>
      <c r="D157" s="107">
        <f>($G$158)</f>
        <v>0</v>
      </c>
      <c r="E157" s="107">
        <f>ROUND(($C$157*$D$157),-2)</f>
        <v>0</v>
      </c>
      <c r="F157" s="83"/>
      <c r="G157" s="83"/>
      <c r="H157" s="93"/>
    </row>
    <row r="158" spans="1:8">
      <c r="A158" s="166" t="s">
        <v>81</v>
      </c>
      <c r="B158" s="167"/>
      <c r="C158" s="296"/>
      <c r="D158" s="244"/>
      <c r="E158" s="244"/>
      <c r="F158" s="318" t="s">
        <v>84</v>
      </c>
      <c r="G158" s="161">
        <f>ROUND(SUM($E$159:$E$164),-2)</f>
        <v>0</v>
      </c>
      <c r="H158" s="93"/>
    </row>
    <row r="159" spans="1:8">
      <c r="A159" s="522" t="s">
        <v>262</v>
      </c>
      <c r="B159" s="522"/>
      <c r="C159" s="150"/>
      <c r="D159" s="93"/>
      <c r="E159" s="171">
        <v>0</v>
      </c>
      <c r="F159" s="83"/>
      <c r="G159" s="83"/>
      <c r="H159" s="93"/>
    </row>
    <row r="160" spans="1:8">
      <c r="A160" s="522" t="s">
        <v>263</v>
      </c>
      <c r="B160" s="522"/>
      <c r="C160" s="150"/>
      <c r="D160" s="93"/>
      <c r="E160" s="172">
        <v>0</v>
      </c>
      <c r="F160" s="83"/>
      <c r="G160" s="83"/>
      <c r="H160" s="93"/>
    </row>
    <row r="161" spans="1:8">
      <c r="A161" s="522" t="s">
        <v>340</v>
      </c>
      <c r="B161" s="522"/>
      <c r="C161" s="522"/>
      <c r="D161" s="93"/>
      <c r="E161" s="172">
        <v>0</v>
      </c>
      <c r="F161" s="83"/>
      <c r="G161" s="83"/>
      <c r="H161" s="93"/>
    </row>
    <row r="162" spans="1:8">
      <c r="A162" s="522" t="s">
        <v>341</v>
      </c>
      <c r="B162" s="522"/>
      <c r="C162" s="522"/>
      <c r="D162" s="93"/>
      <c r="E162" s="172">
        <v>0</v>
      </c>
      <c r="F162" s="83"/>
      <c r="G162" s="83"/>
      <c r="H162" s="93"/>
    </row>
    <row r="163" spans="1:8">
      <c r="A163" s="522" t="s">
        <v>342</v>
      </c>
      <c r="B163" s="522"/>
      <c r="C163" s="522"/>
      <c r="D163" s="93"/>
      <c r="E163" s="172">
        <v>0</v>
      </c>
      <c r="F163" s="83"/>
      <c r="G163" s="83"/>
      <c r="H163" s="93"/>
    </row>
    <row r="164" spans="1:8">
      <c r="A164" s="522" t="s">
        <v>343</v>
      </c>
      <c r="B164" s="522"/>
      <c r="C164" s="522"/>
      <c r="D164" s="93"/>
      <c r="E164" s="173">
        <v>0</v>
      </c>
      <c r="F164" s="83"/>
      <c r="G164" s="83"/>
      <c r="H164" s="93"/>
    </row>
    <row r="165" spans="1:8" ht="13" thickBot="1">
      <c r="A165" s="162"/>
      <c r="B165" s="83"/>
      <c r="C165" s="151"/>
      <c r="D165" s="93"/>
      <c r="E165" s="83"/>
      <c r="F165" s="83"/>
      <c r="G165" s="83"/>
      <c r="H165" s="93"/>
    </row>
    <row r="166" spans="1:8" ht="13" thickBot="1">
      <c r="A166" s="148" t="s">
        <v>56</v>
      </c>
      <c r="B166" s="149"/>
      <c r="C166" s="389">
        <v>0</v>
      </c>
      <c r="D166" s="110">
        <f>($H$124)</f>
        <v>0</v>
      </c>
      <c r="E166" s="110">
        <f>ROUND($C166*$D166,-2)</f>
        <v>0</v>
      </c>
      <c r="F166" s="154"/>
      <c r="G166" s="339" t="str">
        <f>IF($H$166=0,"",($H$166/TOTCONST))</f>
        <v/>
      </c>
      <c r="H166" s="88">
        <f>ROUND(VALUE($E$166),-3)</f>
        <v>0</v>
      </c>
    </row>
    <row r="167" spans="1:8" ht="13" thickBot="1">
      <c r="A167" s="162"/>
      <c r="B167" s="83"/>
      <c r="C167" s="151"/>
      <c r="D167" s="93"/>
      <c r="E167" s="83"/>
      <c r="F167" s="83"/>
      <c r="G167" s="83"/>
      <c r="H167" s="93"/>
    </row>
    <row r="168" spans="1:8" ht="13" thickBot="1">
      <c r="A168" s="148" t="s">
        <v>75</v>
      </c>
      <c r="B168" s="149"/>
      <c r="C168" s="386">
        <v>0</v>
      </c>
      <c r="D168" s="110">
        <f>SUM($H$124+$H$166)</f>
        <v>0</v>
      </c>
      <c r="E168" s="110">
        <f>ROUND($C168*$D168,-2)</f>
        <v>0</v>
      </c>
      <c r="F168" s="154"/>
      <c r="G168" s="339" t="str">
        <f>IF($H$168=0,"",($H$168/TOTCONST))</f>
        <v/>
      </c>
      <c r="H168" s="88">
        <f>ROUND(VALUE($E$168),-3)</f>
        <v>0</v>
      </c>
    </row>
    <row r="169" spans="1:8" ht="13" thickBot="1">
      <c r="A169" s="83"/>
      <c r="B169" s="83"/>
      <c r="C169" s="163"/>
      <c r="D169" s="93"/>
      <c r="E169" s="93"/>
      <c r="F169" s="86"/>
      <c r="G169" s="83"/>
      <c r="H169" s="93"/>
    </row>
    <row r="170" spans="1:8" ht="13" thickBot="1">
      <c r="A170" s="148" t="s">
        <v>79</v>
      </c>
      <c r="B170" s="149"/>
      <c r="C170" s="164"/>
      <c r="D170" s="123"/>
      <c r="E170" s="123"/>
      <c r="F170" s="154"/>
      <c r="G170" s="338" t="str">
        <f>IF($H$170=0,"",($H$170/TOTCONST))</f>
        <v/>
      </c>
      <c r="H170" s="88">
        <f>ROUND(SUM($E$171:$E$178),-3)</f>
        <v>0</v>
      </c>
    </row>
    <row r="171" spans="1:8">
      <c r="A171" s="150" t="s">
        <v>264</v>
      </c>
      <c r="B171" s="83"/>
      <c r="C171" s="163"/>
      <c r="D171" s="93"/>
      <c r="E171" s="107">
        <f>ROUND(SUM($E$159:$E$164),-2)</f>
        <v>0</v>
      </c>
      <c r="F171" s="84"/>
      <c r="G171" s="83"/>
      <c r="H171" s="165"/>
    </row>
    <row r="172" spans="1:8">
      <c r="A172" s="166" t="s">
        <v>82</v>
      </c>
      <c r="B172" s="167"/>
      <c r="C172" s="168"/>
      <c r="D172" s="169"/>
      <c r="E172" s="169"/>
      <c r="F172" s="318" t="s">
        <v>85</v>
      </c>
      <c r="G172" s="161">
        <f>ROUND(SUM($E$173:$E$178),-2)</f>
        <v>0</v>
      </c>
      <c r="H172" s="165"/>
    </row>
    <row r="173" spans="1:8">
      <c r="A173" s="150" t="s">
        <v>276</v>
      </c>
      <c r="B173" s="83"/>
      <c r="C173" s="386">
        <v>0</v>
      </c>
      <c r="D173" s="107">
        <f>($H$124)</f>
        <v>0</v>
      </c>
      <c r="E173" s="107">
        <f>ROUND($C173*$D173,-2)</f>
        <v>0</v>
      </c>
      <c r="F173" s="170"/>
      <c r="G173" s="83"/>
      <c r="H173" s="93"/>
    </row>
    <row r="174" spans="1:8">
      <c r="A174" s="522" t="s">
        <v>262</v>
      </c>
      <c r="B174" s="522"/>
      <c r="C174" s="83"/>
      <c r="D174" s="93"/>
      <c r="E174" s="171">
        <v>0</v>
      </c>
      <c r="F174" s="170"/>
      <c r="G174" s="83"/>
      <c r="H174" s="93"/>
    </row>
    <row r="175" spans="1:8">
      <c r="A175" s="522" t="s">
        <v>263</v>
      </c>
      <c r="B175" s="522"/>
      <c r="C175" s="83"/>
      <c r="D175" s="93"/>
      <c r="E175" s="172">
        <v>0</v>
      </c>
      <c r="F175" s="170"/>
      <c r="G175" s="83"/>
      <c r="H175" s="93"/>
    </row>
    <row r="176" spans="1:8">
      <c r="A176" s="522" t="s">
        <v>344</v>
      </c>
      <c r="B176" s="522"/>
      <c r="C176" s="522"/>
      <c r="D176" s="93"/>
      <c r="E176" s="172">
        <v>0</v>
      </c>
      <c r="F176" s="170"/>
      <c r="G176" s="83"/>
      <c r="H176" s="93"/>
    </row>
    <row r="177" spans="1:8">
      <c r="A177" s="522" t="s">
        <v>345</v>
      </c>
      <c r="B177" s="522"/>
      <c r="C177" s="522"/>
      <c r="D177" s="93"/>
      <c r="E177" s="172">
        <v>0</v>
      </c>
      <c r="F177" s="170"/>
      <c r="G177" s="83"/>
      <c r="H177" s="93"/>
    </row>
    <row r="178" spans="1:8">
      <c r="A178" s="522" t="s">
        <v>346</v>
      </c>
      <c r="B178" s="522"/>
      <c r="C178" s="522"/>
      <c r="D178" s="93"/>
      <c r="E178" s="173">
        <v>0</v>
      </c>
      <c r="F178" s="170"/>
      <c r="G178" s="83"/>
      <c r="H178" s="93"/>
    </row>
    <row r="179" spans="1:8" ht="13" thickBot="1">
      <c r="A179" s="83"/>
      <c r="B179" s="83"/>
      <c r="C179" s="83"/>
      <c r="D179" s="83"/>
      <c r="E179" s="83"/>
      <c r="F179" s="83"/>
      <c r="G179" s="83"/>
      <c r="H179" s="93"/>
    </row>
    <row r="180" spans="1:8" ht="13" thickBot="1">
      <c r="A180" s="125" t="s">
        <v>33</v>
      </c>
      <c r="B180" s="126"/>
      <c r="C180" s="126"/>
      <c r="D180" s="126"/>
      <c r="E180" s="126"/>
      <c r="F180" s="125"/>
      <c r="G180" s="340"/>
      <c r="H180" s="88">
        <f>ROUND(SUM($H$124,$H$139,$H$146,$H$166,$H$168,$H$170),-3)</f>
        <v>0</v>
      </c>
    </row>
    <row r="181" spans="1:8" ht="5.75" customHeight="1">
      <c r="A181" s="87"/>
      <c r="B181" s="87"/>
      <c r="C181" s="87"/>
      <c r="D181" s="87"/>
      <c r="E181" s="87"/>
      <c r="F181" s="87"/>
      <c r="G181" s="87"/>
      <c r="H181" s="83"/>
    </row>
    <row r="182" spans="1:8">
      <c r="A182" s="86"/>
      <c r="B182" s="83"/>
      <c r="C182" s="107">
        <f>IF(ISERR(ROUND($H$122/($B$9+$B$13),0)),0,ROUND($H$122/($B$9+$B$13),0))</f>
        <v>0</v>
      </c>
      <c r="D182" s="174" t="s">
        <v>41</v>
      </c>
      <c r="E182" s="83"/>
      <c r="F182" s="83"/>
      <c r="G182" s="83"/>
      <c r="H182" s="83"/>
    </row>
    <row r="183" spans="1:8">
      <c r="A183" s="86"/>
      <c r="B183" s="83"/>
      <c r="C183" s="107">
        <f>IF(ISERR(ROUND($H$122/($B$10+$B$13),0)),0,ROUND($H$122/($B$10+$B$13),0))</f>
        <v>0</v>
      </c>
      <c r="D183" s="174" t="s">
        <v>42</v>
      </c>
      <c r="E183" s="83"/>
      <c r="F183" s="83"/>
      <c r="G183" s="83"/>
      <c r="H183" s="83"/>
    </row>
    <row r="184" spans="1:8">
      <c r="A184" s="86"/>
      <c r="B184" s="83"/>
      <c r="C184" s="107">
        <f>IF(ISERR(ROUND($H$180/($B$9+$B$13),0)),0,ROUND($H$180/($B$9+$B$13),0))</f>
        <v>0</v>
      </c>
      <c r="D184" s="174" t="s">
        <v>40</v>
      </c>
      <c r="E184" s="83"/>
      <c r="F184" s="83"/>
      <c r="G184" s="83"/>
      <c r="H184" s="83"/>
    </row>
    <row r="185" spans="1:8">
      <c r="A185" s="83"/>
      <c r="B185" s="83"/>
      <c r="C185" s="107">
        <f>IF(ISERR(ROUND($H$180/($B$10+$B$13),0)),0,ROUND($H$180/($B$10+$B$13),0))</f>
        <v>0</v>
      </c>
      <c r="D185" s="174" t="s">
        <v>39</v>
      </c>
      <c r="E185" s="83"/>
      <c r="F185" s="83"/>
      <c r="G185" s="83"/>
      <c r="H185" s="83"/>
    </row>
    <row r="186" spans="1:8" ht="5.75" customHeight="1">
      <c r="A186" s="83"/>
      <c r="B186" s="83"/>
      <c r="C186" s="107"/>
      <c r="D186" s="174"/>
      <c r="E186" s="83"/>
      <c r="F186" s="83"/>
      <c r="G186" s="83"/>
      <c r="H186" s="83"/>
    </row>
    <row r="187" spans="1:8">
      <c r="A187" s="125" t="s">
        <v>34</v>
      </c>
      <c r="B187" s="149"/>
      <c r="C187" s="149"/>
      <c r="D187" s="149"/>
      <c r="E187" s="149"/>
      <c r="F187" s="149"/>
      <c r="G187" s="149"/>
      <c r="H187" s="149"/>
    </row>
    <row r="188" spans="1:8">
      <c r="A188" s="475" t="s">
        <v>73</v>
      </c>
      <c r="B188" s="409"/>
      <c r="C188" s="409"/>
      <c r="D188" s="409"/>
      <c r="E188" s="409"/>
      <c r="F188" s="409"/>
      <c r="G188" s="409"/>
      <c r="H188" s="476"/>
    </row>
    <row r="189" spans="1:8">
      <c r="A189" s="475" t="s">
        <v>73</v>
      </c>
      <c r="B189" s="409"/>
      <c r="C189" s="409"/>
      <c r="D189" s="409"/>
      <c r="E189" s="409"/>
      <c r="F189" s="409"/>
      <c r="G189" s="409"/>
      <c r="H189" s="476"/>
    </row>
    <row r="190" spans="1:8">
      <c r="A190" s="475" t="s">
        <v>73</v>
      </c>
      <c r="B190" s="409"/>
      <c r="C190" s="409"/>
      <c r="D190" s="409"/>
      <c r="E190" s="409"/>
      <c r="F190" s="409"/>
      <c r="G190" s="409"/>
      <c r="H190" s="476"/>
    </row>
    <row r="191" spans="1:8">
      <c r="A191" s="475" t="s">
        <v>73</v>
      </c>
      <c r="B191" s="409"/>
      <c r="C191" s="409"/>
      <c r="D191" s="409"/>
      <c r="E191" s="409"/>
      <c r="F191" s="409"/>
      <c r="G191" s="409"/>
      <c r="H191" s="476"/>
    </row>
    <row r="192" spans="1:8">
      <c r="A192" s="475" t="s">
        <v>73</v>
      </c>
      <c r="B192" s="409"/>
      <c r="C192" s="409"/>
      <c r="D192" s="409"/>
      <c r="E192" s="409"/>
      <c r="F192" s="409"/>
      <c r="G192" s="409"/>
      <c r="H192" s="476"/>
    </row>
  </sheetData>
  <sheetProtection algorithmName="SHA-512" hashValue="8K0iQ1Rkl4BOA6MmAmyJj0lKX802bkfWg2FJfwRtgwBzA1LSbnMG1s3MpfyFNiYCrhC5uRovwV84eFK3zHCBvQ==" saltValue="bEYF1bF8mw67u1AjK0Fe1A==" spinCount="100000" sheet="1" selectLockedCells="1"/>
  <mergeCells count="47">
    <mergeCell ref="C4:E8"/>
    <mergeCell ref="B3:E3"/>
    <mergeCell ref="B66:D66"/>
    <mergeCell ref="B67:D67"/>
    <mergeCell ref="B41:C41"/>
    <mergeCell ref="B42:C42"/>
    <mergeCell ref="B43:C43"/>
    <mergeCell ref="B44:C44"/>
    <mergeCell ref="B46:C46"/>
    <mergeCell ref="B47:C47"/>
    <mergeCell ref="B48:C48"/>
    <mergeCell ref="B49:C49"/>
    <mergeCell ref="B51:C51"/>
    <mergeCell ref="B52:C52"/>
    <mergeCell ref="B53:C53"/>
    <mergeCell ref="A104:G104"/>
    <mergeCell ref="B55:C55"/>
    <mergeCell ref="B56:C56"/>
    <mergeCell ref="B57:C57"/>
    <mergeCell ref="A69:G69"/>
    <mergeCell ref="B107:D107"/>
    <mergeCell ref="B110:D110"/>
    <mergeCell ref="B105:D105"/>
    <mergeCell ref="A106:G106"/>
    <mergeCell ref="B108:D108"/>
    <mergeCell ref="B109:D109"/>
    <mergeCell ref="A155:C155"/>
    <mergeCell ref="A164:C164"/>
    <mergeCell ref="A178:C178"/>
    <mergeCell ref="A156:C156"/>
    <mergeCell ref="A176:C176"/>
    <mergeCell ref="A161:C161"/>
    <mergeCell ref="A163:C163"/>
    <mergeCell ref="A162:C162"/>
    <mergeCell ref="A177:C177"/>
    <mergeCell ref="A159:B159"/>
    <mergeCell ref="A160:B160"/>
    <mergeCell ref="A174:B174"/>
    <mergeCell ref="A175:B175"/>
    <mergeCell ref="B111:D111"/>
    <mergeCell ref="B112:D112"/>
    <mergeCell ref="A113:G113"/>
    <mergeCell ref="A153:C153"/>
    <mergeCell ref="A154:C154"/>
    <mergeCell ref="A150:B150"/>
    <mergeCell ref="A151:B151"/>
    <mergeCell ref="A152:B152"/>
  </mergeCells>
  <phoneticPr fontId="5" type="noConversion"/>
  <conditionalFormatting sqref="A150:B152">
    <cfRule type="expression" dxfId="260" priority="25">
      <formula>$B$5="SP"</formula>
    </cfRule>
    <cfRule type="expression" dxfId="259" priority="26">
      <formula>$B$5="P&amp;D"</formula>
    </cfRule>
    <cfRule type="expression" dxfId="258" priority="27">
      <formula>$B$5="MP"</formula>
    </cfRule>
    <cfRule type="expression" dxfId="257" priority="28">
      <formula>$B$5="MFR"</formula>
    </cfRule>
    <cfRule type="expression" dxfId="256" priority="29">
      <formula>$B$5="IS"</formula>
    </cfRule>
    <cfRule type="expression" dxfId="255" priority="30">
      <formula>$B$5="AA"</formula>
    </cfRule>
  </conditionalFormatting>
  <conditionalFormatting sqref="A159:B160">
    <cfRule type="expression" dxfId="254" priority="13">
      <formula>$B$5="SP"</formula>
    </cfRule>
    <cfRule type="expression" dxfId="253" priority="14">
      <formula>$B$5="P&amp;D"</formula>
    </cfRule>
    <cfRule type="expression" dxfId="252" priority="15">
      <formula>$B$5="MP"</formula>
    </cfRule>
    <cfRule type="expression" dxfId="251" priority="16">
      <formula>$B$5="MFR"</formula>
    </cfRule>
    <cfRule type="expression" dxfId="250" priority="17">
      <formula>$B$5="IS"</formula>
    </cfRule>
    <cfRule type="expression" dxfId="249" priority="18">
      <formula>$B$5="AA"</formula>
    </cfRule>
  </conditionalFormatting>
  <conditionalFormatting sqref="A174:B175">
    <cfRule type="expression" dxfId="248" priority="1">
      <formula>$B$5="SP"</formula>
    </cfRule>
    <cfRule type="expression" dxfId="247" priority="2">
      <formula>$B$5="P&amp;D"</formula>
    </cfRule>
    <cfRule type="expression" dxfId="246" priority="3">
      <formula>$B$5="MP"</formula>
    </cfRule>
    <cfRule type="expression" dxfId="245" priority="4">
      <formula>$B$5="MFR"</formula>
    </cfRule>
    <cfRule type="expression" dxfId="244" priority="5">
      <formula>$B$5="IS"</formula>
    </cfRule>
    <cfRule type="expression" dxfId="243" priority="6">
      <formula>$B$5="AA"</formula>
    </cfRule>
  </conditionalFormatting>
  <conditionalFormatting sqref="A18:C18 E18 A21:C21 E21 A24:C24 E24 A30:C30 E30 A33:C33 E33 A36:C36 E36 A74:G74 A79:G79 A84:G84 A89:G89 A94:G94 A99:G99 A109:G109 A112:G112">
    <cfRule type="expression" dxfId="242" priority="171">
      <formula>$B$5="P&amp;D"</formula>
    </cfRule>
    <cfRule type="expression" dxfId="241" priority="173">
      <formula>$B$5="MP"</formula>
    </cfRule>
    <cfRule type="expression" dxfId="240" priority="170">
      <formula>$B$5="SP"</formula>
    </cfRule>
    <cfRule type="expression" dxfId="239" priority="174">
      <formula>$B$5="MFR"</formula>
    </cfRule>
    <cfRule type="expression" dxfId="238" priority="175">
      <formula>$B$5="IS"</formula>
    </cfRule>
    <cfRule type="expression" dxfId="237" priority="176">
      <formula>$B$5="AA"</formula>
    </cfRule>
  </conditionalFormatting>
  <conditionalFormatting sqref="A40:G40 A45:G45 A50:G50 A54:G54 A61:G61 A69:G69 A106:G106 A117:G117 A124:G124 A139:G139 A146:G146 A166:B166 A168:B168 A170:G170 A180:G180 A187:H187">
    <cfRule type="expression" dxfId="236" priority="152">
      <formula>$B$5="SP"</formula>
    </cfRule>
    <cfRule type="expression" dxfId="235" priority="157">
      <formula>$B$5="AA"</formula>
    </cfRule>
    <cfRule type="expression" dxfId="234" priority="156">
      <formula>$B$5="IS"</formula>
    </cfRule>
    <cfRule type="expression" dxfId="233" priority="155">
      <formula>$B$5="MFR"</formula>
    </cfRule>
    <cfRule type="expression" dxfId="232" priority="154">
      <formula>$B$5="MP"</formula>
    </cfRule>
    <cfRule type="expression" dxfId="231" priority="153">
      <formula>$B$5="P&amp;D"</formula>
    </cfRule>
  </conditionalFormatting>
  <conditionalFormatting sqref="A1:H1">
    <cfRule type="expression" dxfId="230" priority="165">
      <formula>$B$5="P&amp;D"</formula>
    </cfRule>
    <cfRule type="expression" dxfId="229" priority="164">
      <formula>$B$5="SP"</formula>
    </cfRule>
    <cfRule type="expression" dxfId="228" priority="166">
      <formula>$B$5="MP"</formula>
    </cfRule>
    <cfRule type="expression" dxfId="227" priority="167">
      <formula>$B$5="MFR"</formula>
    </cfRule>
    <cfRule type="expression" dxfId="226" priority="168">
      <formula>$B$5="IS"</formula>
    </cfRule>
    <cfRule type="expression" dxfId="225" priority="169">
      <formula>$B$5="AA"</formula>
    </cfRule>
  </conditionalFormatting>
  <conditionalFormatting sqref="B3:E3 H3:H5 B4:C4 B5:B6 B9:B10 H9:H10 B13:B14 A19:C20 E19:E20 A22:C23 E22:E23 A31:C32 E31:E32 A34:C35 E34:E35 B41:E44 B46:E49 B51:E53 B55:E57 E67 A70:G73 A75:G78 A80:G83 A85:G88 A90:G93 A95:G98 A100:G103 A107:G108 A110:G111 E119:G119 C130:C132 C142 E143 C144 C147 E148 C149 E150:E156 A153:D156 C157 E159:E164 A161:D164 C166 C168 C173 E174:E178 A176:D178 A188:H192">
    <cfRule type="expression" dxfId="224" priority="135">
      <formula>$B$5="P&amp;D"</formula>
    </cfRule>
    <cfRule type="expression" dxfId="223" priority="136">
      <formula>$B$5="MP"</formula>
    </cfRule>
    <cfRule type="expression" dxfId="222" priority="137">
      <formula>$B$5="MFR"</formula>
    </cfRule>
    <cfRule type="expression" dxfId="221" priority="138">
      <formula>$B$5="IS"</formula>
    </cfRule>
    <cfRule type="expression" dxfId="220" priority="139">
      <formula>$B$5="AA"</formula>
    </cfRule>
  </conditionalFormatting>
  <conditionalFormatting sqref="B41:E44 B46:E49 B51:E53 B55:E57 H9:H10 C142 B3:E3 H3:H5 B4:C4 B5:B6 B9:B10 B13:B14 A19:C20 E19:E20 A22:C23 E22:E23 A31:C32 E31:E32 A34:C35 E34:E35 E67 A70:G73 A75:G78 A80:G83 A85:G88 A90:G93 A95:G98 A100:G103 A107:G108 A110:G111 E119:G119 C130:C132 E143 C144 C147 E148 C149 E150:E156 A153:D156 C157 E159:E164 A161:D164 C166 C168 C173 E174:E178 A176:D178 A188:H192">
    <cfRule type="expression" dxfId="219" priority="134">
      <formula>$B$5="SP"</formula>
    </cfRule>
  </conditionalFormatting>
  <conditionalFormatting sqref="C137">
    <cfRule type="expression" dxfId="217" priority="68">
      <formula>$B$5="SP"</formula>
    </cfRule>
    <cfRule type="expression" dxfId="216" priority="69">
      <formula>$B$5="P&amp;D"</formula>
    </cfRule>
    <cfRule type="expression" dxfId="215" priority="70">
      <formula>$B$5="MP"</formula>
    </cfRule>
    <cfRule type="expression" dxfId="214" priority="71">
      <formula>$B$5="MFR"</formula>
    </cfRule>
    <cfRule type="expression" dxfId="213" priority="72">
      <formula>$B$5="IS"</formula>
    </cfRule>
    <cfRule type="expression" dxfId="212" priority="73">
      <formula>$B$5="AA"</formula>
    </cfRule>
  </conditionalFormatting>
  <conditionalFormatting sqref="C142">
    <cfRule type="cellIs" dxfId="211" priority="43" operator="equal">
      <formula>$D$140</formula>
    </cfRule>
    <cfRule type="cellIs" dxfId="210" priority="45" operator="lessThan">
      <formula>$D$140</formula>
    </cfRule>
    <cfRule type="cellIs" dxfId="209" priority="44" operator="greaterThan">
      <formula>$D$140</formula>
    </cfRule>
  </conditionalFormatting>
  <conditionalFormatting sqref="D18 F18:G18 D21 F21:G21 D24 F24:G24 D30 F30:G30 D33 F33:G33 D36 F36:G36">
    <cfRule type="expression" dxfId="208" priority="161">
      <formula>$B$5="MFR"</formula>
    </cfRule>
    <cfRule type="expression" dxfId="207" priority="160">
      <formula>$B$5="MP"</formula>
    </cfRule>
    <cfRule type="expression" dxfId="206" priority="159">
      <formula>$B$5="P&amp;D"</formula>
    </cfRule>
    <cfRule type="expression" dxfId="205" priority="158">
      <formula>$B$5="SP"</formula>
    </cfRule>
    <cfRule type="expression" dxfId="204" priority="163">
      <formula>$B$5="AA"</formula>
    </cfRule>
    <cfRule type="expression" dxfId="203" priority="162">
      <formula>$B$5="IS"</formula>
    </cfRule>
  </conditionalFormatting>
  <conditionalFormatting sqref="D166:F166 D168:F168">
    <cfRule type="expression" dxfId="202" priority="151">
      <formula>$B$5="AA"</formula>
    </cfRule>
    <cfRule type="expression" dxfId="201" priority="150">
      <formula>$B$5="IS"</formula>
    </cfRule>
    <cfRule type="expression" dxfId="200" priority="149">
      <formula>$B$5="MFR"</formula>
    </cfRule>
    <cfRule type="expression" dxfId="199" priority="148">
      <formula>$B$5="MP"</formula>
    </cfRule>
    <cfRule type="expression" dxfId="198" priority="147">
      <formula>$B$5="P&amp;D"</formula>
    </cfRule>
    <cfRule type="expression" dxfId="197" priority="146">
      <formula>$B$5="SP"</formula>
    </cfRule>
  </conditionalFormatting>
  <conditionalFormatting sqref="E41:E44">
    <cfRule type="cellIs" dxfId="196" priority="120" operator="greaterThan">
      <formula>$F41</formula>
    </cfRule>
    <cfRule type="cellIs" dxfId="195" priority="121" operator="lessThan">
      <formula>$F41</formula>
    </cfRule>
  </conditionalFormatting>
  <conditionalFormatting sqref="E46:E49 E51:E53 E55:E57">
    <cfRule type="cellIs" dxfId="194" priority="118" operator="greaterThan">
      <formula>$F46</formula>
    </cfRule>
    <cfRule type="cellIs" dxfId="193" priority="119" operator="lessThan">
      <formula>$F46</formula>
    </cfRule>
  </conditionalFormatting>
  <conditionalFormatting sqref="G137">
    <cfRule type="expression" dxfId="192" priority="67">
      <formula>$B$5="AA"</formula>
    </cfRule>
    <cfRule type="expression" dxfId="190" priority="62">
      <formula>$B$5="SP"</formula>
    </cfRule>
    <cfRule type="expression" dxfId="189" priority="63">
      <formula>$B$5="P&amp;D"</formula>
    </cfRule>
    <cfRule type="expression" dxfId="188" priority="64">
      <formula>$B$5="MP"</formula>
    </cfRule>
    <cfRule type="expression" dxfId="187" priority="65">
      <formula>$B$5="MFR"</formula>
    </cfRule>
    <cfRule type="expression" dxfId="186" priority="66">
      <formula>$B$5="IS"</formula>
    </cfRule>
  </conditionalFormatting>
  <conditionalFormatting sqref="G166">
    <cfRule type="expression" dxfId="185" priority="54">
      <formula>$B$5="MP"</formula>
    </cfRule>
    <cfRule type="expression" dxfId="184" priority="55">
      <formula>$B$5="MFR"</formula>
    </cfRule>
    <cfRule type="expression" dxfId="183" priority="52">
      <formula>$B$5="SP"</formula>
    </cfRule>
    <cfRule type="expression" dxfId="182" priority="56">
      <formula>$B$5="IS"</formula>
    </cfRule>
    <cfRule type="expression" dxfId="181" priority="57">
      <formula>$B$5="AA"</formula>
    </cfRule>
    <cfRule type="expression" dxfId="180" priority="53">
      <formula>$B$5="P&amp;D"</formula>
    </cfRule>
  </conditionalFormatting>
  <conditionalFormatting sqref="G168">
    <cfRule type="expression" dxfId="179" priority="51">
      <formula>$B$5="AA"</formula>
    </cfRule>
    <cfRule type="expression" dxfId="178" priority="50">
      <formula>$B$5="IS"</formula>
    </cfRule>
    <cfRule type="expression" dxfId="177" priority="49">
      <formula>$B$5="MFR"</formula>
    </cfRule>
    <cfRule type="expression" dxfId="176" priority="48">
      <formula>$B$5="MP"</formula>
    </cfRule>
    <cfRule type="expression" dxfId="175" priority="47">
      <formula>$B$5="P&amp;D"</formula>
    </cfRule>
    <cfRule type="expression" dxfId="174" priority="46">
      <formula>$B$5="SP"</formula>
    </cfRule>
  </conditionalFormatting>
  <conditionalFormatting sqref="H6">
    <cfRule type="expression" dxfId="173" priority="653">
      <formula>$B$5="AA"</formula>
    </cfRule>
    <cfRule type="expression" dxfId="172" priority="643">
      <formula>IF(AND($B5="IS",$H6&gt;=6000000,$H6&lt;=7400000),$H$180)</formula>
    </cfRule>
    <cfRule type="expression" dxfId="171" priority="652">
      <formula>$B$5="IS"</formula>
    </cfRule>
    <cfRule type="expression" dxfId="170" priority="651">
      <formula>$B$5="MFR"</formula>
    </cfRule>
    <cfRule type="expression" dxfId="169" priority="650">
      <formula>$B$5="MP"</formula>
    </cfRule>
    <cfRule type="expression" dxfId="168" priority="649">
      <formula>$B$5="P&amp;D"</formula>
    </cfRule>
    <cfRule type="expression" dxfId="167" priority="648">
      <formula>$B$5="SP"</formula>
    </cfRule>
    <cfRule type="expression" dxfId="166" priority="647">
      <formula>IF(AND($B5="MFR",$H6&gt;7400000),$H$180)</formula>
    </cfRule>
    <cfRule type="expression" dxfId="165" priority="646">
      <formula>IF(AND($B5="MFR",$H6&gt;=6000000,$H6&lt;=7400000),$H$180)</formula>
    </cfRule>
    <cfRule type="expression" dxfId="164" priority="645">
      <formula>IF(AND($B5="MFR",$H6&gt;7400000),$H$180)</formula>
    </cfRule>
    <cfRule type="expression" dxfId="163" priority="644">
      <formula>IF(AND($B5="IS",$H6&gt;7400000),$H$180)</formula>
    </cfRule>
    <cfRule type="expression" dxfId="162" priority="640">
      <formula>IF(AND($B5="SP",$H6&gt;600000),$H$180)</formula>
    </cfRule>
    <cfRule type="expression" dxfId="161" priority="641">
      <formula>IF(AND($B5="AA",$H6&gt;=6000000,$H6&lt;=5000000),$H$180)</formula>
    </cfRule>
    <cfRule type="expression" dxfId="160" priority="642">
      <formula>IF(AND($B5="AA",$H6&gt;=5000000),$H$180)</formula>
    </cfRule>
  </conditionalFormatting>
  <conditionalFormatting sqref="H9">
    <cfRule type="expression" dxfId="158" priority="89">
      <formula>$H$9&gt;NOW()</formula>
    </cfRule>
  </conditionalFormatting>
  <conditionalFormatting sqref="H12">
    <cfRule type="cellIs" dxfId="155" priority="272" operator="lessThan">
      <formula>$H$11</formula>
    </cfRule>
    <cfRule type="cellIs" dxfId="154" priority="273" operator="greaterThan">
      <formula>$H$11</formula>
    </cfRule>
    <cfRule type="cellIs" dxfId="153" priority="274" operator="equal">
      <formula>$H$11</formula>
    </cfRule>
  </conditionalFormatting>
  <conditionalFormatting sqref="H59">
    <cfRule type="expression" dxfId="152" priority="193">
      <formula>($G$59="ERROR?")</formula>
    </cfRule>
  </conditionalFormatting>
  <conditionalFormatting sqref="H180 H61 H117 H124 H139:H141 H146 H166 H168 H170">
    <cfRule type="expression" dxfId="151" priority="133">
      <formula>$B$5="AA"</formula>
    </cfRule>
    <cfRule type="expression" dxfId="150" priority="129">
      <formula>$B$5="P&amp;D"</formula>
    </cfRule>
    <cfRule type="expression" dxfId="149" priority="130">
      <formula>$B$5="MP"</formula>
    </cfRule>
    <cfRule type="expression" dxfId="148" priority="131">
      <formula>$B$5="MFR"</formula>
    </cfRule>
    <cfRule type="expression" dxfId="147" priority="132">
      <formula>$B$5="IS"</formula>
    </cfRule>
    <cfRule type="expression" dxfId="146" priority="128">
      <formula>$B$5="SP"</formula>
    </cfRule>
  </conditionalFormatting>
  <conditionalFormatting sqref="H180">
    <cfRule type="expression" dxfId="145" priority="91">
      <formula>IF(AND($B5="MFR",$H6&gt;7400000),$H$180)</formula>
    </cfRule>
    <cfRule type="expression" dxfId="144" priority="92">
      <formula>IF(AND($B5="SP",$H6&gt;300000),$H$180)</formula>
    </cfRule>
    <cfRule type="expression" dxfId="143" priority="93">
      <formula>IF(AND($B5="IS",$H6&gt;7400000),$H$180)</formula>
    </cfRule>
    <cfRule type="expression" dxfId="142" priority="94">
      <formula>IF(AND($B5="AA",$H6&gt;=5000000),$H$180)</formula>
    </cfRule>
    <cfRule type="expression" dxfId="141" priority="95">
      <formula>IF(AND($B5="AA",$H6&gt;=3000000,$H6&lt;=5000000),$H$180)</formula>
    </cfRule>
  </conditionalFormatting>
  <printOptions horizontalCentered="1"/>
  <pageMargins left="0.25" right="0.25" top="0.25" bottom="0.5" header="0.25" footer="0.25"/>
  <pageSetup orientation="portrait" horizontalDpi="4294967292" verticalDpi="4294967292" r:id="rId1"/>
  <headerFooter>
    <oddFooter>&amp;L&amp;"Arial Narrow,Regular"&amp;8&amp;K000000&amp;D&amp;C&amp;"Arial Narrow,Regular"&amp;8&amp;K000000PBW&amp;R&amp;"Arial Narrow,Regular"&amp;8&amp;K000000&amp;P of &amp;N</oddFooter>
  </headerFooter>
  <rowBreaks count="3" manualBreakCount="3">
    <brk id="61" max="16383" man="1"/>
    <brk id="120" max="16383" man="1"/>
    <brk id="179" max="16383" man="1"/>
  </rowBreaks>
  <ignoredErrors>
    <ignoredError sqref="B9:B10 E46 E51:E53 E55:E57 H12 B13 E41:E44 E47:E49 C137 G137 H3"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ellIs" priority="61" operator="notEqual" id="{6DE09759-1953-364E-8F5B-12C9753D303B}">
            <xm:f>LOOKUPS!$M$2</xm:f>
            <x14:dxf>
              <font>
                <color rgb="FF9C0006"/>
              </font>
              <fill>
                <patternFill>
                  <bgColor rgb="FFFFC7CE"/>
                </patternFill>
              </fill>
            </x14:dxf>
          </x14:cfRule>
          <xm:sqref>C137</xm:sqref>
        </x14:conditionalFormatting>
        <x14:conditionalFormatting xmlns:xm="http://schemas.microsoft.com/office/excel/2006/main">
          <x14:cfRule type="cellIs" priority="60" operator="notEqual" id="{C13FB5B9-E277-CC45-A05C-60288FF9853E}">
            <xm:f>LOOKUPS!$M$3</xm:f>
            <x14:dxf>
              <font>
                <color rgb="FF9C0006"/>
              </font>
              <fill>
                <patternFill>
                  <bgColor rgb="FFFFC7CE"/>
                </patternFill>
              </fill>
            </x14:dxf>
          </x14:cfRule>
          <xm:sqref>G137</xm:sqref>
        </x14:conditionalFormatting>
        <x14:conditionalFormatting xmlns:xm="http://schemas.microsoft.com/office/excel/2006/main">
          <x14:cfRule type="expression" priority="90" id="{1FAAF4A3-018E-3C42-BC99-A50C7F2B4E42}">
            <xm:f>$H$9&gt;LOOKUPS!$A$2</xm:f>
            <x14:dxf>
              <font>
                <color rgb="FF9C0006"/>
              </font>
              <fill>
                <patternFill>
                  <bgColor rgb="FFFFC7CE"/>
                </patternFill>
              </fill>
            </x14:dxf>
          </x14:cfRule>
          <x14:cfRule type="expression" priority="85" id="{EB9DB75E-23F0-4A4A-B001-2A01259E2354}">
            <xm:f>$H$9&lt;LOOKUPS!$A$5</xm:f>
            <x14:dxf>
              <font>
                <color rgb="FF9C0006"/>
              </font>
              <fill>
                <patternFill>
                  <bgColor rgb="FFFFC7CE"/>
                </patternFill>
              </fill>
            </x14:dxf>
          </x14:cfRule>
          <x14:cfRule type="cellIs" priority="83" operator="between" id="{5E84246E-62B9-3046-B510-248F8D91E5CF}">
            <xm:f>LOOKUPS!$A$4</xm:f>
            <xm:f>LOOKUPS!$A$5</xm:f>
            <x14:dxf>
              <font>
                <color rgb="FF9C5700"/>
              </font>
              <fill>
                <patternFill>
                  <bgColor rgb="FFFFEB9C"/>
                </patternFill>
              </fill>
            </x14:dxf>
          </x14:cfRule>
          <xm:sqref>H9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A4CA0A9-BB94-4047-8F96-0EC39F339995}">
          <x14:formula1>
            <xm:f>LOOKUPS!$C$2:$C$8</xm:f>
          </x14:formula1>
          <xm:sqref>B5</xm:sqref>
        </x14:dataValidation>
        <x14:dataValidation type="list" allowBlank="1" showInputMessage="1" showErrorMessage="1" xr:uid="{A1F0DC4D-920E-054C-9C2C-06BB70368CA4}">
          <x14:formula1>
            <xm:f>LOOKUPS!$J$2:$J$20</xm:f>
          </x14:formula1>
          <xm:sqref>B4</xm:sqref>
        </x14:dataValidation>
        <x14:dataValidation type="list" allowBlank="1" showInputMessage="1" showErrorMessage="1" xr:uid="{E81EB24A-677D-6141-A44D-ACFED263DC45}">
          <x14:formula1>
            <xm:f>LOOKUPS!$O$2:$O$4</xm:f>
          </x14:formula1>
          <xm:sqref>G135</xm:sqref>
        </x14:dataValidation>
        <x14:dataValidation type="list" allowBlank="1" showInputMessage="1" showErrorMessage="1" xr:uid="{70D84682-2AAC-874F-868A-A89B37F731F6}">
          <x14:formula1>
            <xm:f>LOOKUPS!$Q$2:$Q$3</xm:f>
          </x14:formula1>
          <xm:sqref>C140</xm:sqref>
        </x14:dataValidation>
        <x14:dataValidation type="list" allowBlank="1" showInputMessage="1" showErrorMessage="1" xr:uid="{7637310F-9771-3944-AAF2-95575DA2DB5E}">
          <x14:formula1>
            <xm:f>LOOKUPS!$S$2:$S$4</xm:f>
          </x14:formula1>
          <xm:sqref>C141</xm:sqref>
        </x14:dataValidation>
      </x14:dataValidations>
    </ex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A97E1-747C-5D4D-80D9-CAB0C72CED33}">
  <sheetPr codeName="Sheet5">
    <tabColor rgb="FF444444"/>
  </sheetPr>
  <dimension ref="A1:M59"/>
  <sheetViews>
    <sheetView showGridLines="0" view="pageLayout" workbookViewId="0">
      <selection activeCell="B3" sqref="B3:E3"/>
    </sheetView>
  </sheetViews>
  <sheetFormatPr baseColWidth="10" defaultColWidth="9.19921875" defaultRowHeight="12"/>
  <cols>
    <col min="1" max="1" width="21" customWidth="1"/>
    <col min="2" max="2" width="12.3984375" customWidth="1"/>
    <col min="3" max="3" width="11.796875" customWidth="1"/>
    <col min="4" max="4" width="11.796875" bestFit="1" customWidth="1"/>
    <col min="5" max="5" width="23.59765625" customWidth="1"/>
    <col min="8" max="8" width="13.796875" customWidth="1"/>
  </cols>
  <sheetData>
    <row r="1" spans="1:13" ht="13">
      <c r="A1" s="225" t="s">
        <v>281</v>
      </c>
      <c r="B1" s="226"/>
      <c r="C1" s="226"/>
      <c r="D1" s="226"/>
      <c r="E1" s="226"/>
      <c r="F1" s="226"/>
      <c r="G1" s="226"/>
      <c r="H1" s="227" t="str">
        <f>"PROJECT BUDGET WORKSHEET SUMMARY ("&amp;PBW_ALTERNATE!$G$135&amp;")"&amp;" "&amp;VERSION</f>
        <v>PROJECT BUDGET WORKSHEET SUMMARY (NO INFLATION) Rev. 2025-05BR</v>
      </c>
    </row>
    <row r="2" spans="1:13">
      <c r="A2" s="83"/>
      <c r="B2" s="83"/>
      <c r="C2" s="83"/>
      <c r="D2" s="83"/>
      <c r="E2" s="83"/>
      <c r="F2" s="84" t="s">
        <v>16</v>
      </c>
      <c r="G2" s="83"/>
      <c r="H2" s="83"/>
      <c r="I2" s="1"/>
      <c r="J2" s="1"/>
      <c r="K2" s="1"/>
      <c r="L2" s="1"/>
      <c r="M2" s="1"/>
    </row>
    <row r="3" spans="1:13">
      <c r="A3" s="85" t="s">
        <v>17</v>
      </c>
      <c r="B3" s="515" t="str">
        <f>UPPER(PBW_ALTERNATE!$B$3)</f>
        <v>X</v>
      </c>
      <c r="C3" s="515"/>
      <c r="D3" s="515"/>
      <c r="E3" s="515"/>
      <c r="F3" s="84" t="s">
        <v>107</v>
      </c>
      <c r="G3" s="83"/>
      <c r="H3" s="351">
        <f ca="1">(PBW_ALTERNATE!$H$3)</f>
        <v>45777</v>
      </c>
      <c r="I3" s="1"/>
      <c r="J3" s="1"/>
      <c r="K3" s="1"/>
      <c r="L3" s="1"/>
      <c r="M3" s="1"/>
    </row>
    <row r="4" spans="1:13">
      <c r="A4" s="85" t="s">
        <v>74</v>
      </c>
      <c r="B4" s="541" t="str">
        <f>UPPER(PBW_ALTERNATE!$B$4)</f>
        <v>X</v>
      </c>
      <c r="C4" s="541"/>
      <c r="D4" s="541"/>
      <c r="E4" s="541"/>
      <c r="F4" s="84" t="s">
        <v>108</v>
      </c>
      <c r="G4" s="83"/>
      <c r="H4" s="352" t="str">
        <f>UPPER(PBW_ALTERNATE!$H$4)</f>
        <v>XXX</v>
      </c>
      <c r="I4" s="1"/>
      <c r="J4" s="1"/>
      <c r="K4" s="1"/>
      <c r="L4" s="1"/>
      <c r="M4" s="1"/>
    </row>
    <row r="5" spans="1:13">
      <c r="A5" s="87" t="s">
        <v>349</v>
      </c>
      <c r="B5" s="93" t="str">
        <f>UPPER(PBW_ALTERNATE!$B$5)</f>
        <v>X</v>
      </c>
      <c r="C5" s="516"/>
      <c r="D5" s="516"/>
      <c r="E5" s="516"/>
      <c r="F5" s="83" t="s">
        <v>38</v>
      </c>
      <c r="G5" s="83"/>
      <c r="H5" s="353" t="str">
        <f>UPPER(PBW_ALTERNATE!$H$5)</f>
        <v>XXX</v>
      </c>
      <c r="I5" s="1"/>
      <c r="J5" s="1"/>
      <c r="K5" s="1"/>
      <c r="L5" s="1"/>
      <c r="M5" s="1"/>
    </row>
    <row r="6" spans="1:13">
      <c r="A6" s="85" t="s">
        <v>347</v>
      </c>
      <c r="B6" s="83" t="str">
        <f>UPPER(PBW_ALTERNATE!$B$6)</f>
        <v>X</v>
      </c>
      <c r="C6" s="516"/>
      <c r="D6" s="516"/>
      <c r="E6" s="516"/>
      <c r="F6" s="85" t="s">
        <v>321</v>
      </c>
      <c r="G6" s="83"/>
      <c r="H6" s="181">
        <f>(PBW_ALTERNATE!$H$6)</f>
        <v>0</v>
      </c>
      <c r="I6" s="1"/>
      <c r="J6" s="1"/>
      <c r="K6" s="1"/>
      <c r="L6" s="1"/>
      <c r="M6" s="1"/>
    </row>
    <row r="7" spans="1:13">
      <c r="A7" s="83"/>
      <c r="B7" s="83"/>
      <c r="C7" s="516"/>
      <c r="D7" s="516"/>
      <c r="E7" s="516"/>
      <c r="F7" s="83"/>
      <c r="G7" s="83"/>
      <c r="H7" s="83"/>
      <c r="I7" s="1"/>
      <c r="J7" s="1"/>
      <c r="K7" s="1"/>
      <c r="L7" s="1"/>
      <c r="M7" s="1"/>
    </row>
    <row r="8" spans="1:13">
      <c r="A8" s="85" t="s">
        <v>18</v>
      </c>
      <c r="B8" s="83"/>
      <c r="C8" s="516"/>
      <c r="D8" s="516"/>
      <c r="E8" s="516"/>
      <c r="F8" s="83"/>
      <c r="G8" s="83"/>
      <c r="H8" s="83"/>
      <c r="I8" s="1"/>
      <c r="J8" s="1"/>
      <c r="K8" s="1"/>
      <c r="L8" s="1"/>
      <c r="M8" s="1"/>
    </row>
    <row r="9" spans="1:13">
      <c r="A9" s="84" t="s">
        <v>19</v>
      </c>
      <c r="B9" s="111">
        <f>(PBW_ALTERNATE!$B$9)</f>
        <v>0</v>
      </c>
      <c r="C9" s="83"/>
      <c r="D9" s="83"/>
      <c r="E9" s="83"/>
      <c r="F9" s="84" t="s">
        <v>45</v>
      </c>
      <c r="G9" s="83"/>
      <c r="H9" s="354">
        <f>(PBW_ALTERNATE!$H$9)</f>
        <v>45778</v>
      </c>
      <c r="I9" s="1"/>
      <c r="J9" s="1"/>
      <c r="K9" s="1"/>
      <c r="L9" s="1"/>
      <c r="M9" s="1"/>
    </row>
    <row r="10" spans="1:13">
      <c r="A10" s="84" t="s">
        <v>20</v>
      </c>
      <c r="B10" s="111">
        <f>(PBW_ALTERNATE!$B$10)</f>
        <v>0</v>
      </c>
      <c r="C10" s="94">
        <f>(PBW_ALTERNATE!$C$10)</f>
        <v>0</v>
      </c>
      <c r="D10" s="83" t="s">
        <v>43</v>
      </c>
      <c r="E10" s="83"/>
      <c r="F10" s="84" t="s">
        <v>160</v>
      </c>
      <c r="G10" s="83"/>
      <c r="H10" s="359">
        <f>(PBW_ALTERNATE!$G$9)</f>
        <v>8520.44</v>
      </c>
      <c r="I10" s="1"/>
      <c r="J10" s="1"/>
      <c r="K10" s="1"/>
      <c r="L10" s="1"/>
      <c r="M10" s="1"/>
    </row>
    <row r="11" spans="1:13">
      <c r="A11" s="83"/>
      <c r="B11" s="93"/>
      <c r="C11" s="83"/>
      <c r="D11" s="83"/>
      <c r="E11" s="83"/>
      <c r="F11" s="84" t="s">
        <v>371</v>
      </c>
      <c r="G11" s="83"/>
      <c r="H11" s="354">
        <f>(PBW_ALTERNATE!$H$10)</f>
        <v>47300</v>
      </c>
      <c r="I11" s="1"/>
      <c r="J11" s="1"/>
      <c r="K11" s="1"/>
      <c r="L11" s="1"/>
      <c r="M11" s="1"/>
    </row>
    <row r="12" spans="1:13">
      <c r="A12" s="83"/>
      <c r="B12" s="93"/>
      <c r="C12" s="83"/>
      <c r="D12" s="83"/>
      <c r="E12" s="83"/>
      <c r="F12" s="84" t="s">
        <v>375</v>
      </c>
      <c r="G12" s="83"/>
      <c r="H12" s="359">
        <f>(PBW_ALTERNATE!$G$10)</f>
        <v>10933.648562607867</v>
      </c>
      <c r="I12" s="1"/>
      <c r="J12" s="1"/>
      <c r="K12" s="1"/>
      <c r="L12" s="1"/>
      <c r="M12" s="1"/>
    </row>
    <row r="13" spans="1:13">
      <c r="A13" s="85" t="s">
        <v>21</v>
      </c>
      <c r="B13" s="93"/>
      <c r="C13" s="83"/>
      <c r="D13" s="83"/>
      <c r="E13" s="318" t="str">
        <f>(PBW_ALTERNATE!$G$135)</f>
        <v>NO INFLATION</v>
      </c>
      <c r="F13" s="84" t="s">
        <v>376</v>
      </c>
      <c r="G13" s="83"/>
      <c r="H13" s="360">
        <f>(PBW_ALTERNATE!$H$11)</f>
        <v>1</v>
      </c>
      <c r="I13" s="1"/>
      <c r="J13" s="1"/>
      <c r="K13" s="1"/>
      <c r="L13" s="1"/>
      <c r="M13" s="1"/>
    </row>
    <row r="14" spans="1:13">
      <c r="A14" s="84" t="s">
        <v>22</v>
      </c>
      <c r="B14" s="111">
        <f>PBW_ALTERNATE!B13</f>
        <v>0</v>
      </c>
      <c r="C14" s="83"/>
      <c r="D14" s="83"/>
      <c r="E14" s="83"/>
      <c r="F14" s="83"/>
      <c r="G14" s="83"/>
      <c r="H14" s="83"/>
      <c r="I14" s="1"/>
      <c r="J14" s="1"/>
      <c r="K14" s="1"/>
      <c r="L14" s="1"/>
      <c r="M14" s="1"/>
    </row>
    <row r="15" spans="1:13">
      <c r="A15" s="84" t="s">
        <v>23</v>
      </c>
      <c r="B15" s="111">
        <f>PBW_ALTERNATE!B14</f>
        <v>0</v>
      </c>
      <c r="C15" s="94">
        <f>PBW_ALTERNATE!C14</f>
        <v>0</v>
      </c>
      <c r="D15" s="83" t="s">
        <v>44</v>
      </c>
      <c r="E15" s="83"/>
      <c r="F15" s="84" t="s">
        <v>106</v>
      </c>
      <c r="G15" s="83"/>
      <c r="H15" s="354" t="str">
        <f>(PBW_ALTERNATE!$H$14)</f>
        <v/>
      </c>
      <c r="I15" s="1"/>
      <c r="J15" s="1"/>
      <c r="K15" s="1"/>
      <c r="L15" s="1"/>
      <c r="M15" s="1"/>
    </row>
    <row r="16" spans="1:13">
      <c r="A16" s="84"/>
      <c r="B16" s="93"/>
      <c r="C16" s="94"/>
      <c r="D16" s="83"/>
      <c r="E16" s="83"/>
      <c r="F16" s="84"/>
      <c r="G16" s="83"/>
      <c r="H16" s="188"/>
      <c r="I16" s="1"/>
      <c r="J16" s="1"/>
      <c r="K16" s="1"/>
      <c r="L16" s="1"/>
      <c r="M16" s="1"/>
    </row>
    <row r="17" spans="1:13">
      <c r="A17" s="84"/>
      <c r="B17" s="93"/>
      <c r="C17" s="107">
        <f>(PBW_ALTERNATE!$C$182)</f>
        <v>0</v>
      </c>
      <c r="D17" s="174" t="s">
        <v>41</v>
      </c>
      <c r="E17" s="83"/>
      <c r="F17" s="84"/>
      <c r="G17" s="83"/>
      <c r="H17" s="188"/>
      <c r="I17" s="1"/>
      <c r="J17" s="1"/>
      <c r="K17" s="1"/>
      <c r="L17" s="1"/>
      <c r="M17" s="1"/>
    </row>
    <row r="18" spans="1:13">
      <c r="A18" s="84"/>
      <c r="B18" s="93"/>
      <c r="C18" s="107">
        <f>(PBW_ALTERNATE!$C$183)</f>
        <v>0</v>
      </c>
      <c r="D18" s="174" t="s">
        <v>42</v>
      </c>
      <c r="E18" s="83"/>
      <c r="F18" s="84"/>
      <c r="G18" s="83"/>
      <c r="H18" s="188"/>
      <c r="I18" s="1"/>
      <c r="J18" s="1"/>
      <c r="K18" s="1"/>
      <c r="L18" s="1"/>
      <c r="M18" s="1"/>
    </row>
    <row r="19" spans="1:13">
      <c r="A19" s="84"/>
      <c r="B19" s="93"/>
      <c r="C19" s="192"/>
      <c r="D19" s="83"/>
      <c r="E19" s="83"/>
      <c r="F19" s="84"/>
      <c r="G19" s="83"/>
      <c r="H19" s="188"/>
      <c r="I19" s="1"/>
      <c r="J19" s="1"/>
      <c r="K19" s="1"/>
      <c r="L19" s="1"/>
      <c r="M19" s="1"/>
    </row>
    <row r="20" spans="1:13">
      <c r="A20" s="84"/>
      <c r="B20" s="93"/>
      <c r="C20" s="107">
        <f>(PBW_ALTERNATE!$C$185)</f>
        <v>0</v>
      </c>
      <c r="D20" s="174" t="s">
        <v>40</v>
      </c>
      <c r="E20" s="83"/>
      <c r="F20" s="84"/>
      <c r="G20" s="83"/>
      <c r="H20" s="188"/>
      <c r="I20" s="1"/>
      <c r="J20" s="1"/>
      <c r="K20" s="1"/>
      <c r="L20" s="1"/>
      <c r="M20" s="1"/>
    </row>
    <row r="21" spans="1:13">
      <c r="A21" s="83"/>
      <c r="B21" s="83"/>
      <c r="C21" s="107">
        <f>(PBW_ALTERNATE!$C$186)</f>
        <v>0</v>
      </c>
      <c r="D21" s="174" t="s">
        <v>39</v>
      </c>
      <c r="E21" s="83"/>
      <c r="F21" s="83"/>
      <c r="G21" s="83"/>
      <c r="H21" s="83"/>
      <c r="I21" s="1"/>
      <c r="J21" s="1"/>
      <c r="K21" s="1"/>
      <c r="L21" s="1"/>
      <c r="M21" s="1"/>
    </row>
    <row r="22" spans="1:13" ht="13" thickBot="1">
      <c r="A22" s="99"/>
      <c r="B22" s="99"/>
      <c r="C22" s="99"/>
      <c r="D22" s="99"/>
      <c r="E22" s="99"/>
      <c r="F22" s="99"/>
      <c r="G22" s="99"/>
      <c r="H22" s="99"/>
      <c r="I22" s="1"/>
      <c r="J22" s="1"/>
      <c r="K22" s="1"/>
      <c r="L22" s="1"/>
      <c r="M22" s="1"/>
    </row>
    <row r="23" spans="1:13" ht="13" thickBot="1">
      <c r="A23" s="83"/>
      <c r="B23" s="193"/>
      <c r="C23" s="193"/>
      <c r="D23" s="83"/>
      <c r="E23" s="83"/>
      <c r="F23" s="83"/>
      <c r="G23" s="83"/>
      <c r="H23" s="83"/>
      <c r="I23" s="1"/>
      <c r="J23" s="1"/>
      <c r="K23" s="1"/>
      <c r="L23" s="1"/>
      <c r="M23" s="1"/>
    </row>
    <row r="24" spans="1:13" ht="13" thickBot="1">
      <c r="A24" s="219" t="s">
        <v>66</v>
      </c>
      <c r="B24" s="220"/>
      <c r="C24" s="220"/>
      <c r="D24" s="167"/>
      <c r="E24" s="167"/>
      <c r="F24" s="167"/>
      <c r="G24" s="333"/>
      <c r="H24" s="197">
        <f>(PBW_ALTERNATE!TOTCONST_ALTERNATE)</f>
        <v>0</v>
      </c>
      <c r="I24" s="1"/>
      <c r="J24" s="1"/>
      <c r="K24" s="1"/>
      <c r="L24" s="1"/>
      <c r="M24" s="1"/>
    </row>
    <row r="25" spans="1:13">
      <c r="A25" s="118" t="s">
        <v>65</v>
      </c>
      <c r="B25" s="193"/>
      <c r="C25" s="193"/>
      <c r="D25" s="83"/>
      <c r="E25" s="83"/>
      <c r="F25" s="83"/>
      <c r="G25" s="328"/>
      <c r="H25" s="111">
        <f>(PBW_ALTERNATE!TOTCONST_ALTERNATE-PBW_ALTERNATE!$H$119)</f>
        <v>0</v>
      </c>
      <c r="I25" s="1"/>
      <c r="J25" s="1"/>
      <c r="K25" s="1"/>
      <c r="L25" s="1"/>
      <c r="M25" s="1"/>
    </row>
    <row r="26" spans="1:13">
      <c r="A26" s="118" t="s">
        <v>61</v>
      </c>
      <c r="B26" s="193"/>
      <c r="C26" s="193"/>
      <c r="D26" s="83"/>
      <c r="E26" s="83"/>
      <c r="F26" s="83"/>
      <c r="G26" s="328"/>
      <c r="H26" s="111">
        <f>(PBW_ALTERNATE!$H$119)</f>
        <v>0</v>
      </c>
      <c r="I26" s="1"/>
      <c r="J26" s="1"/>
      <c r="K26" s="1"/>
      <c r="L26" s="1"/>
      <c r="M26" s="1"/>
    </row>
    <row r="27" spans="1:13" ht="13" thickBot="1">
      <c r="A27" s="84"/>
      <c r="B27" s="198"/>
      <c r="C27" s="198"/>
      <c r="D27" s="83"/>
      <c r="E27" s="83"/>
      <c r="F27" s="83"/>
      <c r="G27" s="328"/>
      <c r="H27" s="111"/>
      <c r="I27" s="1"/>
      <c r="J27" s="1"/>
      <c r="K27" s="1"/>
      <c r="L27" s="1"/>
      <c r="M27" s="1"/>
    </row>
    <row r="28" spans="1:13" ht="13" thickBot="1">
      <c r="A28" s="219" t="s">
        <v>69</v>
      </c>
      <c r="B28" s="167"/>
      <c r="C28" s="167"/>
      <c r="D28" s="167"/>
      <c r="E28" s="167"/>
      <c r="F28" s="167"/>
      <c r="G28" s="334" t="str">
        <f>IF($H$24=0,"",($H$28/$H$24))</f>
        <v/>
      </c>
      <c r="H28" s="197">
        <f>SUM(PBW_ALTERNATE!$H$139,PBW_ALTERNATE!$H$146)</f>
        <v>0</v>
      </c>
      <c r="I28" s="1"/>
      <c r="J28" s="1"/>
      <c r="K28" s="1"/>
      <c r="L28" s="1"/>
      <c r="M28" s="1"/>
    </row>
    <row r="29" spans="1:13">
      <c r="A29" s="118" t="s">
        <v>67</v>
      </c>
      <c r="B29" s="199"/>
      <c r="C29" s="198"/>
      <c r="D29" s="200"/>
      <c r="E29" s="83"/>
      <c r="F29" s="83"/>
      <c r="G29" s="330" t="str">
        <f>IF($H$24=0,"",($H$29/$H$24))</f>
        <v/>
      </c>
      <c r="H29" s="111">
        <f>(PBW_ALTERNATE!$H$139)</f>
        <v>0</v>
      </c>
      <c r="I29" s="1"/>
      <c r="J29" s="1"/>
      <c r="K29" s="1"/>
      <c r="L29" s="1"/>
      <c r="M29" s="1"/>
    </row>
    <row r="30" spans="1:13">
      <c r="A30" s="118" t="s">
        <v>68</v>
      </c>
      <c r="B30" s="199"/>
      <c r="C30" s="193"/>
      <c r="D30" s="200"/>
      <c r="E30" s="201"/>
      <c r="F30" s="83"/>
      <c r="G30" s="331" t="str">
        <f>IF($H$24=0,"",($H$30/$H$24))</f>
        <v/>
      </c>
      <c r="H30" s="111">
        <f>(PBW_ALTERNATE!$H$146)</f>
        <v>0</v>
      </c>
      <c r="I30" s="1"/>
      <c r="J30" s="1"/>
      <c r="K30" s="1"/>
      <c r="L30" s="1"/>
      <c r="M30" s="1"/>
    </row>
    <row r="31" spans="1:13" ht="13" thickBot="1">
      <c r="A31" s="85"/>
      <c r="B31" s="83"/>
      <c r="C31" s="83"/>
      <c r="D31" s="83"/>
      <c r="E31" s="83"/>
      <c r="F31" s="83"/>
      <c r="G31" s="328"/>
      <c r="H31" s="147"/>
      <c r="I31" s="1"/>
      <c r="J31" s="1"/>
      <c r="K31" s="1"/>
      <c r="L31" s="1"/>
      <c r="M31" s="1"/>
    </row>
    <row r="32" spans="1:13" ht="13" thickBot="1">
      <c r="A32" s="219" t="s">
        <v>70</v>
      </c>
      <c r="B32" s="222"/>
      <c r="C32" s="167"/>
      <c r="D32" s="167"/>
      <c r="E32" s="167"/>
      <c r="F32" s="167"/>
      <c r="G32" s="334" t="str">
        <f>IF($H$24=0,"",($H$32/$H$24))</f>
        <v/>
      </c>
      <c r="H32" s="197">
        <f>(PBW_ALTERNATE!$H$166)</f>
        <v>0</v>
      </c>
      <c r="I32" s="1"/>
      <c r="J32" s="1"/>
      <c r="K32" s="1"/>
      <c r="L32" s="1"/>
      <c r="M32" s="1"/>
    </row>
    <row r="33" spans="1:13" ht="13" thickBot="1">
      <c r="A33" s="203"/>
      <c r="B33" s="204"/>
      <c r="C33" s="83"/>
      <c r="D33" s="83"/>
      <c r="E33" s="83"/>
      <c r="F33" s="83"/>
      <c r="G33" s="328"/>
      <c r="H33" s="147"/>
      <c r="I33" s="1"/>
      <c r="J33" s="1"/>
      <c r="K33" s="1"/>
      <c r="L33" s="1"/>
      <c r="M33" s="1"/>
    </row>
    <row r="34" spans="1:13" ht="13" thickBot="1">
      <c r="A34" s="219" t="s">
        <v>71</v>
      </c>
      <c r="B34" s="222"/>
      <c r="C34" s="167"/>
      <c r="D34" s="167"/>
      <c r="E34" s="167"/>
      <c r="F34" s="167"/>
      <c r="G34" s="334" t="str">
        <f>IF(SUM($H$24,$H$32)=0,"",($H$34/SUM($H$24+$H$32)))</f>
        <v/>
      </c>
      <c r="H34" s="197">
        <f>(PBW_ALTERNATE!$H$168)</f>
        <v>0</v>
      </c>
      <c r="I34" s="1"/>
      <c r="J34" s="1"/>
      <c r="K34" s="1"/>
      <c r="L34" s="1"/>
      <c r="M34" s="1"/>
    </row>
    <row r="35" spans="1:13" ht="13" thickBot="1">
      <c r="A35" s="85"/>
      <c r="B35" s="83"/>
      <c r="C35" s="83"/>
      <c r="D35" s="83"/>
      <c r="E35" s="83"/>
      <c r="F35" s="83"/>
      <c r="G35" s="328"/>
      <c r="H35" s="111"/>
      <c r="I35" s="1"/>
      <c r="J35" s="1"/>
      <c r="K35" s="1"/>
      <c r="L35" s="1"/>
      <c r="M35" s="1"/>
    </row>
    <row r="36" spans="1:13" ht="13" thickBot="1">
      <c r="A36" s="219" t="s">
        <v>91</v>
      </c>
      <c r="B36" s="167"/>
      <c r="C36" s="167"/>
      <c r="D36" s="167"/>
      <c r="E36" s="167"/>
      <c r="F36" s="167"/>
      <c r="G36" s="334" t="str">
        <f>IF($H$24=0,"",($H$36/$H$24))</f>
        <v/>
      </c>
      <c r="H36" s="197">
        <f>(PBW_ALTERNATE!$H$170)</f>
        <v>0</v>
      </c>
      <c r="I36" s="1"/>
      <c r="J36" s="1"/>
      <c r="K36" s="1"/>
      <c r="L36" s="1"/>
      <c r="M36" s="1"/>
    </row>
    <row r="37" spans="1:13">
      <c r="A37" s="118" t="s">
        <v>92</v>
      </c>
      <c r="B37" s="199"/>
      <c r="C37" s="83"/>
      <c r="D37" s="200"/>
      <c r="E37" s="83"/>
      <c r="F37" s="83"/>
      <c r="G37" s="331" t="str">
        <f>IF($H$24=0,"",($H$37/$H$24))</f>
        <v/>
      </c>
      <c r="H37" s="111">
        <f>(PBW_ALTERNATE!$G$158)</f>
        <v>0</v>
      </c>
      <c r="I37" s="1"/>
      <c r="J37" s="1"/>
      <c r="K37" s="1"/>
      <c r="L37" s="1"/>
      <c r="M37" s="1"/>
    </row>
    <row r="38" spans="1:13">
      <c r="A38" s="118" t="s">
        <v>93</v>
      </c>
      <c r="B38" s="91"/>
      <c r="C38" s="83"/>
      <c r="D38" s="200"/>
      <c r="E38" s="83"/>
      <c r="F38" s="83"/>
      <c r="G38" s="331" t="str">
        <f>IF($H$24=0,"",($H$38/$H$24))</f>
        <v/>
      </c>
      <c r="H38" s="111">
        <f>(PBW_ALTERNATE!$G$172)</f>
        <v>0</v>
      </c>
      <c r="I38" s="1"/>
      <c r="J38" s="1"/>
      <c r="K38" s="1"/>
      <c r="L38" s="1"/>
      <c r="M38" s="1"/>
    </row>
    <row r="39" spans="1:13" ht="13" thickBot="1">
      <c r="A39" s="85"/>
      <c r="B39" s="83"/>
      <c r="C39" s="83"/>
      <c r="D39" s="83"/>
      <c r="E39" s="83"/>
      <c r="F39" s="83"/>
      <c r="G39" s="328"/>
      <c r="H39" s="147"/>
      <c r="I39" s="1"/>
      <c r="J39" s="1"/>
      <c r="K39" s="1"/>
      <c r="L39" s="1"/>
      <c r="M39" s="1"/>
    </row>
    <row r="40" spans="1:13" ht="13" thickBot="1">
      <c r="A40" s="219" t="s">
        <v>72</v>
      </c>
      <c r="B40" s="167"/>
      <c r="C40" s="167"/>
      <c r="D40" s="167"/>
      <c r="E40" s="167"/>
      <c r="F40" s="219"/>
      <c r="G40" s="335"/>
      <c r="H40" s="197">
        <f>SUM(H$24,H$28,H$32,H$34,$H$36)</f>
        <v>0</v>
      </c>
      <c r="I40" s="1"/>
      <c r="J40" s="1"/>
      <c r="K40" s="1"/>
      <c r="L40" s="1"/>
      <c r="M40" s="1"/>
    </row>
    <row r="41" spans="1:13">
      <c r="A41" s="83"/>
      <c r="B41" s="83"/>
      <c r="C41" s="83"/>
      <c r="D41" s="83"/>
      <c r="E41" s="83"/>
      <c r="F41" s="83"/>
      <c r="G41" s="83"/>
      <c r="H41" s="83"/>
      <c r="I41" s="1"/>
      <c r="J41" s="1"/>
      <c r="K41" s="1"/>
      <c r="L41" s="1"/>
      <c r="M41" s="1"/>
    </row>
    <row r="42" spans="1:13" ht="13" thickBot="1">
      <c r="A42" s="99"/>
      <c r="B42" s="99"/>
      <c r="C42" s="99"/>
      <c r="D42" s="99"/>
      <c r="E42" s="99"/>
      <c r="F42" s="99"/>
      <c r="G42" s="99"/>
      <c r="H42" s="99"/>
      <c r="I42" s="1"/>
      <c r="J42" s="1"/>
      <c r="K42" s="1"/>
      <c r="L42" s="1"/>
      <c r="M42" s="1"/>
    </row>
    <row r="43" spans="1:13">
      <c r="A43" s="83"/>
      <c r="B43" s="83"/>
      <c r="C43" s="83"/>
      <c r="D43" s="83"/>
      <c r="E43" s="83"/>
      <c r="F43" s="83"/>
      <c r="G43" s="83"/>
      <c r="H43" s="83"/>
      <c r="I43" s="1"/>
      <c r="J43" s="1"/>
      <c r="K43" s="1"/>
      <c r="L43" s="1"/>
      <c r="M43" s="1"/>
    </row>
    <row r="44" spans="1:13">
      <c r="A44" s="83"/>
      <c r="B44" s="83"/>
      <c r="C44" s="83"/>
      <c r="D44" s="83"/>
      <c r="E44" s="83"/>
      <c r="F44" s="83"/>
      <c r="G44" s="83"/>
      <c r="H44" s="83"/>
      <c r="I44" s="1"/>
      <c r="J44" s="1"/>
      <c r="K44" s="1"/>
      <c r="L44" s="1"/>
      <c r="M44" s="1"/>
    </row>
    <row r="45" spans="1:13">
      <c r="A45" s="83"/>
      <c r="B45" s="83"/>
      <c r="C45" s="83"/>
      <c r="D45" s="83"/>
      <c r="E45" s="83"/>
      <c r="F45" s="83"/>
      <c r="G45" s="83"/>
      <c r="H45" s="83"/>
      <c r="I45" s="1"/>
      <c r="J45" s="1"/>
      <c r="K45" s="1"/>
      <c r="L45" s="1"/>
      <c r="M45" s="1"/>
    </row>
    <row r="46" spans="1:13">
      <c r="A46" s="539" t="s">
        <v>179</v>
      </c>
      <c r="B46" s="539"/>
      <c r="C46" s="539"/>
      <c r="D46" s="539"/>
      <c r="E46" s="83"/>
      <c r="F46" s="540" t="s">
        <v>126</v>
      </c>
      <c r="G46" s="540"/>
      <c r="H46" s="540"/>
      <c r="I46" s="1"/>
      <c r="J46" s="1"/>
      <c r="K46" s="1"/>
      <c r="L46" s="1"/>
      <c r="M46" s="1"/>
    </row>
    <row r="47" spans="1:13" ht="13">
      <c r="A47" s="205"/>
      <c r="B47" s="205"/>
      <c r="C47" s="205"/>
      <c r="D47" s="205"/>
      <c r="E47" s="83"/>
      <c r="F47" s="83"/>
      <c r="G47" s="83"/>
      <c r="H47" s="206" t="str">
        <f>(PBW_ALTERNATE!$G$135)</f>
        <v>NO INFLATION</v>
      </c>
      <c r="I47" s="1"/>
      <c r="J47" s="1"/>
      <c r="K47" s="1"/>
      <c r="L47" s="1"/>
      <c r="M47" s="1"/>
    </row>
    <row r="48" spans="1:13" ht="12.75" customHeight="1">
      <c r="A48" s="207" t="s">
        <v>113</v>
      </c>
      <c r="B48" s="208"/>
      <c r="C48" s="209" t="s">
        <v>122</v>
      </c>
      <c r="D48" s="224">
        <f>($H$25)</f>
        <v>0</v>
      </c>
      <c r="E48" s="160" t="s">
        <v>131</v>
      </c>
      <c r="F48" s="84" t="s">
        <v>113</v>
      </c>
      <c r="G48" s="129" t="s">
        <v>122</v>
      </c>
      <c r="H48" s="224">
        <f>($H$24)</f>
        <v>0</v>
      </c>
      <c r="I48" s="1"/>
      <c r="J48" s="1"/>
      <c r="K48" s="1"/>
      <c r="L48" s="1"/>
      <c r="M48" s="1"/>
    </row>
    <row r="49" spans="1:13" ht="12.75" customHeight="1">
      <c r="A49" s="207" t="s">
        <v>112</v>
      </c>
      <c r="B49" s="208"/>
      <c r="C49" s="209" t="s">
        <v>122</v>
      </c>
      <c r="D49" s="224">
        <f>($H$26)</f>
        <v>0</v>
      </c>
      <c r="E49" s="160" t="s">
        <v>129</v>
      </c>
      <c r="F49" s="84" t="s">
        <v>124</v>
      </c>
      <c r="G49" s="129" t="s">
        <v>122</v>
      </c>
      <c r="H49" s="224">
        <f>($H$28)</f>
        <v>0</v>
      </c>
      <c r="I49" s="1"/>
      <c r="J49" s="1"/>
      <c r="K49" s="1"/>
      <c r="L49" s="1"/>
      <c r="M49" s="1"/>
    </row>
    <row r="50" spans="1:13" ht="12.75" customHeight="1">
      <c r="A50" s="213" t="s">
        <v>114</v>
      </c>
      <c r="B50" s="214"/>
      <c r="C50" s="215" t="s">
        <v>122</v>
      </c>
      <c r="D50" s="216">
        <f>($H$24)</f>
        <v>0</v>
      </c>
      <c r="E50" s="160" t="s">
        <v>130</v>
      </c>
      <c r="F50" s="84" t="s">
        <v>311</v>
      </c>
      <c r="G50" s="129" t="s">
        <v>122</v>
      </c>
      <c r="H50" s="224">
        <f>($H$34)</f>
        <v>0</v>
      </c>
      <c r="I50" s="1"/>
      <c r="J50" s="1"/>
      <c r="K50" s="1"/>
      <c r="L50" s="1"/>
      <c r="M50" s="1"/>
    </row>
    <row r="51" spans="1:13" ht="12.75" customHeight="1">
      <c r="A51" s="207" t="s">
        <v>115</v>
      </c>
      <c r="B51" s="208" t="str">
        <f>($G$29)</f>
        <v/>
      </c>
      <c r="C51" s="209" t="s">
        <v>122</v>
      </c>
      <c r="D51" s="224">
        <f>($H$29)</f>
        <v>0</v>
      </c>
      <c r="E51" s="160" t="s">
        <v>128</v>
      </c>
      <c r="F51" s="84" t="s">
        <v>118</v>
      </c>
      <c r="G51" s="129" t="s">
        <v>122</v>
      </c>
      <c r="H51" s="224">
        <f>($H$32)</f>
        <v>0</v>
      </c>
      <c r="I51" s="1"/>
      <c r="J51" s="1"/>
      <c r="K51" s="1"/>
      <c r="L51" s="1"/>
      <c r="M51" s="1"/>
    </row>
    <row r="52" spans="1:13" ht="12.75" customHeight="1">
      <c r="A52" s="207" t="s">
        <v>116</v>
      </c>
      <c r="B52" s="208" t="str">
        <f>($G$30)</f>
        <v/>
      </c>
      <c r="C52" s="209" t="s">
        <v>122</v>
      </c>
      <c r="D52" s="224">
        <f>($H$30)</f>
        <v>0</v>
      </c>
      <c r="E52" s="160" t="s">
        <v>132</v>
      </c>
      <c r="F52" s="84" t="s">
        <v>313</v>
      </c>
      <c r="G52" s="129" t="s">
        <v>122</v>
      </c>
      <c r="H52" s="224">
        <f>($H$36)</f>
        <v>0</v>
      </c>
      <c r="I52" s="1"/>
      <c r="J52" s="1"/>
      <c r="K52" s="1"/>
      <c r="L52" s="1"/>
      <c r="M52" s="1"/>
    </row>
    <row r="53" spans="1:13" ht="12.75" customHeight="1">
      <c r="A53" s="213" t="s">
        <v>117</v>
      </c>
      <c r="B53" s="214"/>
      <c r="C53" s="215" t="s">
        <v>122</v>
      </c>
      <c r="D53" s="216">
        <f>($H$28)</f>
        <v>0</v>
      </c>
      <c r="E53" s="160"/>
      <c r="F53" s="84" t="s">
        <v>312</v>
      </c>
      <c r="G53" s="129" t="s">
        <v>122</v>
      </c>
      <c r="H53" s="224">
        <f>(PBW_SUMMARY!$H$54-PBW_ALTERNATE_SUMMARY!$H$54)</f>
        <v>0</v>
      </c>
      <c r="I53" s="1"/>
      <c r="J53" s="1"/>
      <c r="K53" s="1"/>
      <c r="L53" s="1"/>
      <c r="M53" s="1"/>
    </row>
    <row r="54" spans="1:13" ht="12.75" customHeight="1">
      <c r="A54" s="207" t="s">
        <v>118</v>
      </c>
      <c r="B54" s="208" t="str">
        <f>($G$32)</f>
        <v/>
      </c>
      <c r="C54" s="209" t="s">
        <v>122</v>
      </c>
      <c r="D54" s="224">
        <f>($H$32)</f>
        <v>0</v>
      </c>
      <c r="E54" s="160"/>
      <c r="F54" s="85" t="s">
        <v>125</v>
      </c>
      <c r="G54" s="130" t="s">
        <v>122</v>
      </c>
      <c r="H54" s="216">
        <f>($H$40)</f>
        <v>0</v>
      </c>
      <c r="I54" s="1"/>
      <c r="J54" s="1"/>
      <c r="K54" s="1"/>
      <c r="L54" s="1"/>
      <c r="M54" s="1"/>
    </row>
    <row r="55" spans="1:13" ht="14">
      <c r="A55" s="207" t="s">
        <v>119</v>
      </c>
      <c r="B55" s="208" t="str">
        <f>($G$34)</f>
        <v/>
      </c>
      <c r="C55" s="209" t="s">
        <v>122</v>
      </c>
      <c r="D55" s="224">
        <f>($H$34)</f>
        <v>0</v>
      </c>
      <c r="E55" s="83"/>
      <c r="F55" s="100"/>
      <c r="G55" s="83"/>
      <c r="H55" s="83"/>
      <c r="I55" s="1"/>
      <c r="J55" s="1"/>
      <c r="K55" s="1"/>
      <c r="L55" s="1"/>
      <c r="M55" s="1"/>
    </row>
    <row r="56" spans="1:13" ht="14">
      <c r="A56" s="207" t="s">
        <v>120</v>
      </c>
      <c r="B56" s="208" t="str">
        <f>($G$36)</f>
        <v/>
      </c>
      <c r="C56" s="209" t="s">
        <v>122</v>
      </c>
      <c r="D56" s="224">
        <f>($H$36)</f>
        <v>0</v>
      </c>
      <c r="E56" s="83"/>
      <c r="F56" s="100"/>
      <c r="G56" s="83"/>
      <c r="H56" s="83"/>
      <c r="I56" s="1"/>
      <c r="J56" s="1"/>
      <c r="K56" s="1"/>
      <c r="L56" s="1"/>
      <c r="M56" s="1"/>
    </row>
    <row r="57" spans="1:13" ht="14">
      <c r="A57" s="213" t="s">
        <v>121</v>
      </c>
      <c r="B57" s="214"/>
      <c r="C57" s="215" t="s">
        <v>122</v>
      </c>
      <c r="D57" s="216">
        <f>($H$40)</f>
        <v>0</v>
      </c>
      <c r="E57" s="83"/>
      <c r="F57" s="100"/>
      <c r="G57" s="83"/>
      <c r="H57" s="83"/>
      <c r="I57" s="1"/>
      <c r="J57" s="1"/>
      <c r="K57" s="1"/>
      <c r="L57" s="1"/>
      <c r="M57" s="1"/>
    </row>
    <row r="58" spans="1:13" ht="13">
      <c r="A58" s="205"/>
      <c r="B58" s="205"/>
      <c r="C58" s="205"/>
      <c r="D58" s="205"/>
      <c r="E58" s="205"/>
      <c r="F58" s="205"/>
      <c r="G58" s="205"/>
      <c r="H58" s="205"/>
      <c r="I58" s="1"/>
      <c r="J58" s="1"/>
      <c r="K58" s="1"/>
      <c r="L58" s="1"/>
      <c r="M58" s="1"/>
    </row>
    <row r="59" spans="1:13">
      <c r="I59" s="1"/>
      <c r="J59" s="1"/>
      <c r="K59" s="1"/>
      <c r="L59" s="1"/>
      <c r="M59" s="1"/>
    </row>
  </sheetData>
  <sheetProtection algorithmName="SHA-512" hashValue="VCzFdaSvd3i6lGgI2IwLG0FVosturp/TlHYeQMPggweR746Nd/rCPC+2MSRGlJq6Z4uWDdsRU7PSV3CcZeNntA==" saltValue="62FQ8phX6NpLjFZKg+jUAg==" spinCount="100000" sheet="1" objects="1" scenarios="1"/>
  <mergeCells count="5">
    <mergeCell ref="A46:D46"/>
    <mergeCell ref="F46:H46"/>
    <mergeCell ref="B3:E3"/>
    <mergeCell ref="B4:E4"/>
    <mergeCell ref="C5:E8"/>
  </mergeCells>
  <printOptions horizontalCentered="1"/>
  <pageMargins left="0.25" right="0.25" top="0.25" bottom="0.5" header="0.25" footer="0.25"/>
  <pageSetup orientation="portrait" horizontalDpi="4294967292" verticalDpi="4294967292" r:id="rId1"/>
  <headerFooter>
    <oddFooter>&amp;L&amp;"Arial Narrow,Regular"&amp;8&amp;K000000&amp;D&amp;C&amp;"Arial Narrow,Regular"&amp;8&amp;K000000PBW Summary&amp;R&amp;"Arial Narrow,Regular"&amp;8&amp;K000000page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42572-A207-E343-9FB9-997E02A7F6CB}">
  <sheetPr codeName="Sheet6">
    <tabColor rgb="FF444444"/>
  </sheetPr>
  <dimension ref="A1:H192"/>
  <sheetViews>
    <sheetView showGridLines="0" showZeros="0" view="pageLayout" zoomScaleNormal="100" workbookViewId="0">
      <selection activeCell="B3" sqref="B3:E3"/>
    </sheetView>
  </sheetViews>
  <sheetFormatPr baseColWidth="10" defaultColWidth="9.19921875" defaultRowHeight="12"/>
  <cols>
    <col min="1" max="1" width="20" customWidth="1"/>
    <col min="2" max="2" width="18" customWidth="1"/>
    <col min="3" max="3" width="11.796875" customWidth="1"/>
    <col min="4" max="4" width="13.59765625" customWidth="1"/>
    <col min="5" max="5" width="11.796875" customWidth="1"/>
    <col min="6" max="6" width="10" customWidth="1"/>
    <col min="7" max="8" width="13.59765625" customWidth="1"/>
  </cols>
  <sheetData>
    <row r="1" spans="1:8" ht="13">
      <c r="A1" s="225" t="s">
        <v>281</v>
      </c>
      <c r="B1" s="226"/>
      <c r="C1" s="226"/>
      <c r="D1" s="226"/>
      <c r="E1" s="226"/>
      <c r="F1" s="226"/>
      <c r="G1" s="226"/>
      <c r="H1" s="227" t="str">
        <f>"PROJECT BUDGET WORKSHEET ("&amp;$G$135&amp;")"&amp;" "&amp;VERSION</f>
        <v>PROJECT BUDGET WORKSHEET (NO INFLATION) Rev. 2025-05BR</v>
      </c>
    </row>
    <row r="2" spans="1:8" ht="6" customHeight="1">
      <c r="A2" s="83"/>
      <c r="B2" s="83"/>
      <c r="C2" s="83"/>
      <c r="D2" s="83"/>
      <c r="E2" s="83"/>
      <c r="F2" s="84" t="s">
        <v>16</v>
      </c>
      <c r="G2" s="83"/>
      <c r="H2" s="83"/>
    </row>
    <row r="3" spans="1:8">
      <c r="A3" s="85" t="s">
        <v>17</v>
      </c>
      <c r="B3" s="515" t="str">
        <f>UPPER(IF(ISBLANK(PBW!B3),"",PBW!B3))</f>
        <v>X</v>
      </c>
      <c r="C3" s="515"/>
      <c r="D3" s="515"/>
      <c r="E3" s="515"/>
      <c r="F3" s="84" t="s">
        <v>107</v>
      </c>
      <c r="G3" s="83"/>
      <c r="H3" s="351">
        <f ca="1">IF(ISBLANK(PBW!H3),"",PBW!H3)</f>
        <v>45777</v>
      </c>
    </row>
    <row r="4" spans="1:8">
      <c r="A4" s="85" t="s">
        <v>74</v>
      </c>
      <c r="B4" s="83" t="str">
        <f>UPPER(IF(ISBLANK(PBW!B4),"",PBW!B4))</f>
        <v>X</v>
      </c>
      <c r="C4" s="516"/>
      <c r="D4" s="516"/>
      <c r="E4" s="516"/>
      <c r="F4" s="84" t="s">
        <v>108</v>
      </c>
      <c r="G4" s="83"/>
      <c r="H4" s="361" t="str">
        <f>UPPER(IF(ISBLANK(PBW!H4),"",PBW!H4))</f>
        <v>XXX</v>
      </c>
    </row>
    <row r="5" spans="1:8">
      <c r="A5" s="87" t="s">
        <v>349</v>
      </c>
      <c r="B5" s="228" t="str">
        <f>UPPER(IF(ISBLANK(PBW!B5),"",PBW!B5))</f>
        <v>X</v>
      </c>
      <c r="C5" s="516"/>
      <c r="D5" s="516"/>
      <c r="E5" s="516"/>
      <c r="F5" s="83" t="s">
        <v>38</v>
      </c>
      <c r="G5" s="83"/>
      <c r="H5" s="353" t="str">
        <f>UPPER(IF(ISBLANK(PBW!H5),"",PBW!H5))</f>
        <v>XXX</v>
      </c>
    </row>
    <row r="6" spans="1:8">
      <c r="A6" s="85" t="s">
        <v>347</v>
      </c>
      <c r="B6" s="83" t="str">
        <f>UPPER(IF(ISBLANK(PBW!B6),"",PBW!B6))</f>
        <v>X</v>
      </c>
      <c r="C6" s="516"/>
      <c r="D6" s="516"/>
      <c r="E6" s="516"/>
      <c r="F6" s="85" t="s">
        <v>321</v>
      </c>
      <c r="G6" s="83"/>
      <c r="H6" s="165">
        <f>VALUE($H$180)</f>
        <v>0</v>
      </c>
    </row>
    <row r="7" spans="1:8" ht="6" customHeight="1">
      <c r="A7" s="83"/>
      <c r="B7" s="83"/>
      <c r="C7" s="516"/>
      <c r="D7" s="516"/>
      <c r="E7" s="516"/>
      <c r="F7" s="83"/>
      <c r="G7" s="83"/>
      <c r="H7" s="83"/>
    </row>
    <row r="8" spans="1:8">
      <c r="A8" s="85" t="s">
        <v>18</v>
      </c>
      <c r="B8" s="83"/>
      <c r="C8" s="516"/>
      <c r="D8" s="516"/>
      <c r="E8" s="516"/>
      <c r="F8" s="83"/>
      <c r="G8" s="229" t="s">
        <v>348</v>
      </c>
      <c r="H8" s="90" t="s">
        <v>109</v>
      </c>
    </row>
    <row r="9" spans="1:8">
      <c r="A9" s="84" t="s">
        <v>19</v>
      </c>
      <c r="B9" s="325">
        <f>(PBW!B9)</f>
        <v>0</v>
      </c>
      <c r="C9" s="83"/>
      <c r="D9" s="83"/>
      <c r="E9" s="83"/>
      <c r="F9" s="84" t="s">
        <v>45</v>
      </c>
      <c r="G9" s="312">
        <f>(PBW!$G$9)</f>
        <v>8520.44</v>
      </c>
      <c r="H9" s="362">
        <f>(PBW!H9)</f>
        <v>45778</v>
      </c>
    </row>
    <row r="10" spans="1:8">
      <c r="A10" s="84" t="s">
        <v>20</v>
      </c>
      <c r="B10" s="326">
        <f>(PBW!B10)</f>
        <v>0</v>
      </c>
      <c r="C10" s="91">
        <f>IF(ISERR($B$9/$B$10),0,($B$9/$B$10))</f>
        <v>0</v>
      </c>
      <c r="D10" s="83" t="s">
        <v>43</v>
      </c>
      <c r="E10" s="130" t="str">
        <f>IF($H$10&lt;$H$9,"ERROR!","")</f>
        <v/>
      </c>
      <c r="F10" s="84" t="s">
        <v>371</v>
      </c>
      <c r="G10" s="312">
        <f>(PBW!$G$10)</f>
        <v>10933.648562607867</v>
      </c>
      <c r="H10" s="363">
        <f>IF($G$135="2025-27 CBR",ENR!$J$6,PBW!$H$10)</f>
        <v>47300</v>
      </c>
    </row>
    <row r="11" spans="1:8">
      <c r="A11" s="84"/>
      <c r="B11" s="93"/>
      <c r="C11" s="94"/>
      <c r="D11" s="83"/>
      <c r="E11" s="318" t="str">
        <f>($G$135)</f>
        <v>NO INFLATION</v>
      </c>
      <c r="F11" s="84" t="s">
        <v>372</v>
      </c>
      <c r="G11" s="83"/>
      <c r="H11" s="355">
        <f>IF($G$135="NO INFLATION",1,IF($G$135="2025-27 CBR",ENR!$L$7,($G$10/$G$9)))</f>
        <v>1</v>
      </c>
    </row>
    <row r="12" spans="1:8">
      <c r="A12" s="85" t="s">
        <v>21</v>
      </c>
      <c r="B12" s="93"/>
      <c r="C12" s="83"/>
      <c r="D12" s="83"/>
      <c r="E12" s="146" t="str">
        <f>IF($H$12&lt;&gt;$H$11,"WARNING! ENR ESCALATION VALUES DO NOT MATCH!","")</f>
        <v/>
      </c>
      <c r="F12" s="84" t="s">
        <v>373</v>
      </c>
      <c r="G12" s="83"/>
      <c r="H12" s="364">
        <f>($H$11)</f>
        <v>1</v>
      </c>
    </row>
    <row r="13" spans="1:8">
      <c r="A13" s="84" t="s">
        <v>22</v>
      </c>
      <c r="B13" s="325">
        <f>(PBW!B13)</f>
        <v>0</v>
      </c>
      <c r="C13" s="83"/>
      <c r="D13" s="83"/>
      <c r="E13" s="83"/>
      <c r="F13" s="84" t="s">
        <v>374</v>
      </c>
      <c r="G13" s="83"/>
      <c r="H13" s="355">
        <f>($H$12-$H$11)</f>
        <v>0</v>
      </c>
    </row>
    <row r="14" spans="1:8">
      <c r="A14" s="84" t="s">
        <v>23</v>
      </c>
      <c r="B14" s="326">
        <f>(PBW!B14)</f>
        <v>0</v>
      </c>
      <c r="C14" s="91">
        <f>IF(ISERR($B$13/$B$14),0,($B$13/$B$14))</f>
        <v>0</v>
      </c>
      <c r="D14" s="83" t="s">
        <v>44</v>
      </c>
      <c r="E14" s="83"/>
      <c r="F14" s="84" t="s">
        <v>309</v>
      </c>
      <c r="G14" s="313" t="str">
        <f>IF(ISBLANK(PBW!G14),"",PBW!G14)</f>
        <v/>
      </c>
      <c r="H14" s="365" t="str">
        <f>IF(ISBLANK(PBW!H14),"",PBW!H14)</f>
        <v/>
      </c>
    </row>
    <row r="15" spans="1:8" ht="6" customHeight="1" thickBot="1">
      <c r="A15" s="99"/>
      <c r="B15" s="99"/>
      <c r="C15" s="99"/>
      <c r="D15" s="99"/>
      <c r="E15" s="99"/>
      <c r="F15" s="99"/>
      <c r="G15" s="99"/>
      <c r="H15" s="99"/>
    </row>
    <row r="16" spans="1:8">
      <c r="A16" s="85" t="s">
        <v>35</v>
      </c>
      <c r="B16" s="87"/>
      <c r="C16" s="83"/>
      <c r="D16" s="83"/>
      <c r="E16" s="83"/>
      <c r="F16" s="83"/>
      <c r="G16" s="100"/>
      <c r="H16" s="83"/>
    </row>
    <row r="17" spans="1:8">
      <c r="A17" s="84" t="s">
        <v>24</v>
      </c>
      <c r="B17" s="100" t="s">
        <v>25</v>
      </c>
      <c r="C17" s="100" t="s">
        <v>26</v>
      </c>
      <c r="D17" s="101" t="s">
        <v>27</v>
      </c>
      <c r="E17" s="100" t="s">
        <v>28</v>
      </c>
      <c r="F17" s="101"/>
      <c r="G17" s="101" t="s">
        <v>1</v>
      </c>
      <c r="H17" s="83"/>
    </row>
    <row r="18" spans="1:8">
      <c r="A18" s="344" t="str">
        <f>IF(ISBLANK(PBW!A18),"",PBW!A18)</f>
        <v>Function A</v>
      </c>
      <c r="B18" s="230">
        <f>IF(ISBLANK(PBW!B18),"",PBW!B18)</f>
        <v>0</v>
      </c>
      <c r="C18" s="231">
        <f>IF(ISBLANK(PBW!C18),"",PBW!C18)</f>
        <v>0</v>
      </c>
      <c r="D18" s="232">
        <f>IF($B18&gt;0,ROUND($B18/$C18,-2),0)</f>
        <v>0</v>
      </c>
      <c r="E18" s="233">
        <f>IF(ISBLANK(PBW!E18),"",PBW!E18)</f>
        <v>0</v>
      </c>
      <c r="F18" s="234"/>
      <c r="G18" s="235">
        <f>ROUND($D18*$E18,-2)</f>
        <v>0</v>
      </c>
      <c r="H18" s="83"/>
    </row>
    <row r="19" spans="1:8">
      <c r="A19" s="345" t="str">
        <f>IF(ISBLANK(PBW!A19),"",PBW!A19)</f>
        <v>Function B</v>
      </c>
      <c r="B19" s="236">
        <f>IF(ISBLANK(PBW!B19),"",PBW!B19)</f>
        <v>0</v>
      </c>
      <c r="C19" s="237">
        <f>IF(ISBLANK(PBW!C19),"",PBW!C19)</f>
        <v>0</v>
      </c>
      <c r="D19" s="105">
        <f>IF($B19&gt;0,ROUND($B19/$C19,-2),0)</f>
        <v>0</v>
      </c>
      <c r="E19" s="238">
        <f>IF(ISBLANK(PBW!E19),"",PBW!E19)</f>
        <v>0</v>
      </c>
      <c r="F19" s="106"/>
      <c r="G19" s="107">
        <f>ROUND($D19*$E19,-2)</f>
        <v>0</v>
      </c>
      <c r="H19" s="83"/>
    </row>
    <row r="20" spans="1:8">
      <c r="A20" s="345" t="str">
        <f>IF(ISBLANK(PBW!A20),"",PBW!A20)</f>
        <v>Function C</v>
      </c>
      <c r="B20" s="236">
        <f>IF(ISBLANK(PBW!B20),"",PBW!B20)</f>
        <v>0</v>
      </c>
      <c r="C20" s="237">
        <f>IF(ISBLANK(PBW!C20),"",PBW!C20)</f>
        <v>0</v>
      </c>
      <c r="D20" s="105">
        <f>IF($B20&gt;0,ROUND($B20/$C20,-2),0)</f>
        <v>0</v>
      </c>
      <c r="E20" s="238">
        <f>IF(ISBLANK(PBW!E20),"",PBW!E20)</f>
        <v>0</v>
      </c>
      <c r="F20" s="106"/>
      <c r="G20" s="107">
        <f>ROUND($D20*$E20,-2)</f>
        <v>0</v>
      </c>
      <c r="H20" s="83"/>
    </row>
    <row r="21" spans="1:8">
      <c r="A21" s="346" t="str">
        <f>IF(ISBLANK(PBW!A21),"",PBW!A21)</f>
        <v>Function D</v>
      </c>
      <c r="B21" s="239">
        <f>IF(ISBLANK(PBW!B21),"",PBW!B21)</f>
        <v>0</v>
      </c>
      <c r="C21" s="240">
        <f>IF(ISBLANK(PBW!C21),"",PBW!C21)</f>
        <v>0</v>
      </c>
      <c r="D21" s="241">
        <f t="shared" ref="D21:D22" si="0">IF($B21&gt;0,ROUND($B21/$C21,-2),0)</f>
        <v>0</v>
      </c>
      <c r="E21" s="242">
        <f>IF(ISBLANK(PBW!E21),"",PBW!E21)</f>
        <v>0</v>
      </c>
      <c r="F21" s="243"/>
      <c r="G21" s="244">
        <f t="shared" ref="G21:G22" si="1">ROUND($D21*$E21,-2)</f>
        <v>0</v>
      </c>
      <c r="H21" s="83"/>
    </row>
    <row r="22" spans="1:8">
      <c r="A22" s="345" t="str">
        <f>IF(ISBLANK(PBW!A22),"",PBW!A22)</f>
        <v>Function E</v>
      </c>
      <c r="B22" s="236">
        <f>IF(ISBLANK(PBW!B22),"",PBW!B22)</f>
        <v>0</v>
      </c>
      <c r="C22" s="237">
        <f>IF(ISBLANK(PBW!C22),"",PBW!C22)</f>
        <v>0</v>
      </c>
      <c r="D22" s="105">
        <f t="shared" si="0"/>
        <v>0</v>
      </c>
      <c r="E22" s="238">
        <f>IF(ISBLANK(PBW!E22),"",PBW!E22)</f>
        <v>0</v>
      </c>
      <c r="F22" s="106"/>
      <c r="G22" s="107">
        <f t="shared" si="1"/>
        <v>0</v>
      </c>
      <c r="H22" s="83"/>
    </row>
    <row r="23" spans="1:8">
      <c r="A23" s="345" t="str">
        <f>IF(ISBLANK(PBW!A23),"",PBW!A23)</f>
        <v>Function F</v>
      </c>
      <c r="B23" s="236">
        <f>IF(ISBLANK(PBW!B23),"",PBW!B23)</f>
        <v>0</v>
      </c>
      <c r="C23" s="237">
        <f>IF(ISBLANK(PBW!C23),"",PBW!C23)</f>
        <v>0</v>
      </c>
      <c r="D23" s="105">
        <f>IF($B23&gt;0,ROUND($B23/$C23,-2),0)</f>
        <v>0</v>
      </c>
      <c r="E23" s="238">
        <f>IF(ISBLANK(PBW!E23),"",PBW!E23)</f>
        <v>0</v>
      </c>
      <c r="F23" s="106"/>
      <c r="G23" s="107">
        <f>ROUND($D23*$E23,-2)</f>
        <v>0</v>
      </c>
      <c r="H23" s="83"/>
    </row>
    <row r="24" spans="1:8">
      <c r="A24" s="347" t="str">
        <f>IF(ISBLANK(PBW!A24),"",PBW!A24)</f>
        <v>Function G</v>
      </c>
      <c r="B24" s="245">
        <f>IF(ISBLANK(PBW!B24),"",PBW!B24)</f>
        <v>0</v>
      </c>
      <c r="C24" s="246">
        <f>IF(ISBLANK(PBW!C24),"",PBW!C24)</f>
        <v>0</v>
      </c>
      <c r="D24" s="232">
        <f>IF($B24&gt;0,ROUND($B24/$C24,-2),0)</f>
        <v>0</v>
      </c>
      <c r="E24" s="247">
        <f>IF(ISBLANK(PBW!E24),"",PBW!E24)</f>
        <v>0</v>
      </c>
      <c r="F24" s="234"/>
      <c r="G24" s="235">
        <f>ROUND($D24*$E24,-2)</f>
        <v>0</v>
      </c>
      <c r="H24" s="83"/>
    </row>
    <row r="25" spans="1:8">
      <c r="A25" s="83"/>
      <c r="B25" s="111">
        <f>SUM(B$18:B$24)</f>
        <v>0</v>
      </c>
      <c r="C25" s="93"/>
      <c r="D25" s="111">
        <f>SUM(D$18:D$24)</f>
        <v>0</v>
      </c>
      <c r="E25" s="107"/>
      <c r="F25" s="84" t="s">
        <v>29</v>
      </c>
      <c r="G25" s="107">
        <f>ROUND(SUM(G$18:G$24),-3)</f>
        <v>0</v>
      </c>
      <c r="H25" s="83"/>
    </row>
    <row r="26" spans="1:8">
      <c r="A26" s="83" t="s">
        <v>89</v>
      </c>
      <c r="B26" s="93"/>
      <c r="C26" s="93"/>
      <c r="D26" s="93"/>
      <c r="E26" s="93"/>
      <c r="F26" s="84"/>
      <c r="G26" s="93"/>
      <c r="H26" s="112">
        <f>($G$25)</f>
        <v>0</v>
      </c>
    </row>
    <row r="27" spans="1:8" ht="6" customHeight="1">
      <c r="A27" s="83"/>
      <c r="B27" s="93"/>
      <c r="C27" s="93"/>
      <c r="D27" s="93"/>
      <c r="E27" s="93"/>
      <c r="F27" s="84"/>
      <c r="G27" s="93"/>
      <c r="H27" s="113"/>
    </row>
    <row r="28" spans="1:8">
      <c r="A28" s="85" t="s">
        <v>36</v>
      </c>
      <c r="B28" s="87"/>
      <c r="C28" s="83"/>
      <c r="D28" s="83"/>
      <c r="E28" s="83"/>
      <c r="F28" s="83"/>
      <c r="G28" s="100"/>
      <c r="H28" s="83"/>
    </row>
    <row r="29" spans="1:8">
      <c r="A29" s="84" t="s">
        <v>24</v>
      </c>
      <c r="B29" s="100" t="s">
        <v>25</v>
      </c>
      <c r="C29" s="100" t="s">
        <v>26</v>
      </c>
      <c r="D29" s="101" t="s">
        <v>27</v>
      </c>
      <c r="E29" s="100" t="s">
        <v>28</v>
      </c>
      <c r="F29" s="101"/>
      <c r="G29" s="101" t="s">
        <v>1</v>
      </c>
      <c r="H29" s="83"/>
    </row>
    <row r="30" spans="1:8">
      <c r="A30" s="344" t="str">
        <f>IF(ISBLANK(PBW!A30),"",PBW!A30)</f>
        <v>Function H</v>
      </c>
      <c r="B30" s="230">
        <f>IF(ISBLANK(PBW!B30),"",PBW!B30)</f>
        <v>0</v>
      </c>
      <c r="C30" s="231">
        <f>IF(ISBLANK(PBW!C30),"",PBW!C30)</f>
        <v>0</v>
      </c>
      <c r="D30" s="232">
        <f>IF($B30&gt;0,ROUND($B30/$C30,-2),0)</f>
        <v>0</v>
      </c>
      <c r="E30" s="233">
        <f>IF(ISBLANK(PBW!E30),"",PBW!E30)</f>
        <v>0</v>
      </c>
      <c r="F30" s="234"/>
      <c r="G30" s="235">
        <f>ROUND($D30*$E30,-2)</f>
        <v>0</v>
      </c>
      <c r="H30" s="83"/>
    </row>
    <row r="31" spans="1:8">
      <c r="A31" s="345" t="str">
        <f>IF(ISBLANK(PBW!A31),"",PBW!A31)</f>
        <v>Function I</v>
      </c>
      <c r="B31" s="236">
        <f>IF(ISBLANK(PBW!B31),"",PBW!B31)</f>
        <v>0</v>
      </c>
      <c r="C31" s="237">
        <f>IF(ISBLANK(PBW!C31),"",PBW!C31)</f>
        <v>0</v>
      </c>
      <c r="D31" s="105">
        <f>IF($B31&gt;0,ROUND($B31/$C31,-2),0)</f>
        <v>0</v>
      </c>
      <c r="E31" s="238">
        <f>IF(ISBLANK(PBW!E31),"",PBW!E31)</f>
        <v>0</v>
      </c>
      <c r="F31" s="106"/>
      <c r="G31" s="107">
        <f>ROUND($D31*$E31,-2)</f>
        <v>0</v>
      </c>
      <c r="H31" s="83"/>
    </row>
    <row r="32" spans="1:8">
      <c r="A32" s="345" t="str">
        <f>IF(ISBLANK(PBW!A32),"",PBW!A32)</f>
        <v>Function J</v>
      </c>
      <c r="B32" s="236">
        <f>IF(ISBLANK(PBW!B32),"",PBW!B32)</f>
        <v>0</v>
      </c>
      <c r="C32" s="237">
        <f>IF(ISBLANK(PBW!C32),"",PBW!C32)</f>
        <v>0</v>
      </c>
      <c r="D32" s="105">
        <f t="shared" ref="D32:D34" si="2">IF($B32&gt;0,ROUND($B32/$C32,-2),0)</f>
        <v>0</v>
      </c>
      <c r="E32" s="238">
        <f>IF(ISBLANK(PBW!E32),"",PBW!E32)</f>
        <v>0</v>
      </c>
      <c r="F32" s="106"/>
      <c r="G32" s="107">
        <f t="shared" ref="G32:G34" si="3">ROUND($D32*$E32,-2)</f>
        <v>0</v>
      </c>
      <c r="H32" s="83"/>
    </row>
    <row r="33" spans="1:8">
      <c r="A33" s="346" t="str">
        <f>IF(ISBLANK(PBW!A33),"",PBW!A33)</f>
        <v>Function K</v>
      </c>
      <c r="B33" s="239">
        <f>IF(ISBLANK(PBW!B33),"",PBW!B33)</f>
        <v>0</v>
      </c>
      <c r="C33" s="240">
        <f>IF(ISBLANK(PBW!C33),"",PBW!C33)</f>
        <v>0</v>
      </c>
      <c r="D33" s="241">
        <f t="shared" si="2"/>
        <v>0</v>
      </c>
      <c r="E33" s="242">
        <f>IF(ISBLANK(PBW!E33),"",PBW!E33)</f>
        <v>0</v>
      </c>
      <c r="F33" s="243"/>
      <c r="G33" s="244">
        <f t="shared" si="3"/>
        <v>0</v>
      </c>
      <c r="H33" s="83"/>
    </row>
    <row r="34" spans="1:8">
      <c r="A34" s="345" t="str">
        <f>IF(ISBLANK(PBW!A34),"",PBW!A34)</f>
        <v>Function L</v>
      </c>
      <c r="B34" s="236">
        <f>IF(ISBLANK(PBW!B34),"",PBW!B34)</f>
        <v>0</v>
      </c>
      <c r="C34" s="237">
        <f>IF(ISBLANK(PBW!C34),"",PBW!C34)</f>
        <v>0</v>
      </c>
      <c r="D34" s="105">
        <f t="shared" si="2"/>
        <v>0</v>
      </c>
      <c r="E34" s="238">
        <f>IF(ISBLANK(PBW!E34),"",PBW!E34)</f>
        <v>0</v>
      </c>
      <c r="F34" s="106"/>
      <c r="G34" s="107">
        <f t="shared" si="3"/>
        <v>0</v>
      </c>
      <c r="H34" s="83"/>
    </row>
    <row r="35" spans="1:8">
      <c r="A35" s="345" t="str">
        <f>IF(ISBLANK(PBW!A35),"",PBW!A35)</f>
        <v>Function M</v>
      </c>
      <c r="B35" s="236">
        <f>IF(ISBLANK(PBW!B35),"",PBW!B35)</f>
        <v>0</v>
      </c>
      <c r="C35" s="237">
        <f>IF(ISBLANK(PBW!C35),"",PBW!C35)</f>
        <v>0</v>
      </c>
      <c r="D35" s="105">
        <f>IF($B35&gt;0,ROUND($B35/$C35,-2),0)</f>
        <v>0</v>
      </c>
      <c r="E35" s="238">
        <f>IF(ISBLANK(PBW!E35),"",PBW!E35)</f>
        <v>0</v>
      </c>
      <c r="F35" s="106"/>
      <c r="G35" s="107">
        <f>ROUND($D35*$E35,-2)</f>
        <v>0</v>
      </c>
      <c r="H35" s="83"/>
    </row>
    <row r="36" spans="1:8">
      <c r="A36" s="347" t="str">
        <f>IF(ISBLANK(PBW!A36),"",PBW!A36)</f>
        <v>Function N</v>
      </c>
      <c r="B36" s="245">
        <f>IF(ISBLANK(PBW!B36),"",PBW!B36)</f>
        <v>0</v>
      </c>
      <c r="C36" s="246">
        <f>IF(ISBLANK(PBW!C36),"",PBW!C36)</f>
        <v>0</v>
      </c>
      <c r="D36" s="232">
        <f>IF($B36&gt;0,ROUND($B36/$C36,-2),0)</f>
        <v>0</v>
      </c>
      <c r="E36" s="247">
        <f>IF(ISBLANK(PBW!E36),"",PBW!E36)</f>
        <v>0</v>
      </c>
      <c r="F36" s="234"/>
      <c r="G36" s="235">
        <f>ROUND($D36*$E36,-2)</f>
        <v>0</v>
      </c>
      <c r="H36" s="83"/>
    </row>
    <row r="37" spans="1:8">
      <c r="A37" s="83"/>
      <c r="B37" s="111">
        <f>SUM(B$30:B$36)</f>
        <v>0</v>
      </c>
      <c r="C37" s="93"/>
      <c r="D37" s="111">
        <f>SUM(D$30:D$36)</f>
        <v>0</v>
      </c>
      <c r="E37" s="93"/>
      <c r="F37" s="84" t="s">
        <v>29</v>
      </c>
      <c r="G37" s="107">
        <f>ROUND(SUM(G$30:G$36),-3)</f>
        <v>0</v>
      </c>
      <c r="H37" s="112">
        <f>($G$37)</f>
        <v>0</v>
      </c>
    </row>
    <row r="38" spans="1:8">
      <c r="A38" s="87" t="s">
        <v>37</v>
      </c>
      <c r="B38" s="93"/>
      <c r="C38" s="93"/>
      <c r="D38" s="93"/>
      <c r="E38" s="93"/>
      <c r="F38" s="83"/>
      <c r="G38" s="100"/>
      <c r="H38" s="93"/>
    </row>
    <row r="39" spans="1:8">
      <c r="A39" s="114" t="s">
        <v>30</v>
      </c>
      <c r="B39" s="83"/>
      <c r="C39" s="83"/>
      <c r="D39" s="101" t="s">
        <v>27</v>
      </c>
      <c r="E39" s="101" t="s">
        <v>28</v>
      </c>
      <c r="F39" s="101" t="s">
        <v>278</v>
      </c>
      <c r="G39" s="101" t="s">
        <v>0</v>
      </c>
      <c r="H39" s="83"/>
    </row>
    <row r="40" spans="1:8">
      <c r="A40" s="248" t="s">
        <v>31</v>
      </c>
      <c r="B40" s="249" t="s">
        <v>64</v>
      </c>
      <c r="C40" s="250"/>
      <c r="D40" s="250"/>
      <c r="E40" s="250"/>
      <c r="F40" s="250"/>
      <c r="G40" s="250"/>
      <c r="H40" s="83"/>
    </row>
    <row r="41" spans="1:8">
      <c r="A41" s="118" t="s">
        <v>265</v>
      </c>
      <c r="B41" s="541" t="str">
        <f>IF(ISBLANK(PBW!B41),"",PBW!B41)</f>
        <v>X</v>
      </c>
      <c r="C41" s="557">
        <f>(PBW!C41)</f>
        <v>0</v>
      </c>
      <c r="D41" s="251">
        <f>IF(ISBLANK(PBW!D41),"",PBW!D41)</f>
        <v>0</v>
      </c>
      <c r="E41" s="252">
        <f>IF(ISBLANK(PBW!E41),"",PBW!E41)</f>
        <v>17</v>
      </c>
      <c r="F41" s="119">
        <f>ROUNDUP((10*ENR!$S$15),0)</f>
        <v>17</v>
      </c>
      <c r="G41" s="107">
        <f>ROUND($D41*$E41,-2)</f>
        <v>0</v>
      </c>
      <c r="H41" s="120"/>
    </row>
    <row r="42" spans="1:8">
      <c r="A42" s="118" t="s">
        <v>266</v>
      </c>
      <c r="B42" s="541" t="str">
        <f>IF(ISBLANK(PBW!B42),"",PBW!B42)</f>
        <v>X</v>
      </c>
      <c r="C42" s="557">
        <f>(PBW!C42)</f>
        <v>0</v>
      </c>
      <c r="D42" s="253">
        <f>IF(ISBLANK(PBW!D42),"",PBW!D42)</f>
        <v>0</v>
      </c>
      <c r="E42" s="254">
        <f>IF(ISBLANK(PBW!E42),"",PBW!E42)</f>
        <v>59</v>
      </c>
      <c r="F42" s="119">
        <f>ROUNDUP((35*ENR!$S$15),0)</f>
        <v>59</v>
      </c>
      <c r="G42" s="107">
        <f>ROUND($D42*$E42,-2)</f>
        <v>0</v>
      </c>
      <c r="H42" s="83"/>
    </row>
    <row r="43" spans="1:8">
      <c r="A43" s="118" t="s">
        <v>267</v>
      </c>
      <c r="B43" s="541" t="str">
        <f>IF(ISBLANK(PBW!B43),"",PBW!B43)</f>
        <v>X</v>
      </c>
      <c r="C43" s="557">
        <f>(PBW!C43)</f>
        <v>0</v>
      </c>
      <c r="D43" s="253">
        <f>IF(ISBLANK(PBW!D43),"",PBW!D43)</f>
        <v>0</v>
      </c>
      <c r="E43" s="254">
        <f>IF(ISBLANK(PBW!E43),"",PBW!E43)</f>
        <v>99</v>
      </c>
      <c r="F43" s="119">
        <f>ROUNDUP((58.5*ENR!$S$15),0)</f>
        <v>99</v>
      </c>
      <c r="G43" s="107">
        <f>ROUND($D43*$E43,-2)</f>
        <v>0</v>
      </c>
      <c r="H43" s="83"/>
    </row>
    <row r="44" spans="1:8">
      <c r="A44" s="118" t="s">
        <v>268</v>
      </c>
      <c r="B44" s="541" t="str">
        <f>IF(ISBLANK(PBW!B44),"",PBW!B44)</f>
        <v>X</v>
      </c>
      <c r="C44" s="557">
        <f>(PBW!C44)</f>
        <v>0</v>
      </c>
      <c r="D44" s="255">
        <f>IF(ISBLANK(PBW!D44),"",PBW!D44)</f>
        <v>0</v>
      </c>
      <c r="E44" s="256">
        <f>IF(ISBLANK(PBW!E44),"",PBW!E44)</f>
        <v>118</v>
      </c>
      <c r="F44" s="119">
        <f>ROUNDUP((70*ENR!$S$15),0)</f>
        <v>118</v>
      </c>
      <c r="G44" s="107">
        <f>ROUND($D44*$E44,-2)</f>
        <v>0</v>
      </c>
      <c r="H44" s="83"/>
    </row>
    <row r="45" spans="1:8">
      <c r="A45" s="248" t="s">
        <v>32</v>
      </c>
      <c r="B45" s="250"/>
      <c r="C45" s="250"/>
      <c r="D45" s="257"/>
      <c r="E45" s="258"/>
      <c r="F45" s="258"/>
      <c r="G45" s="169"/>
      <c r="H45" s="83"/>
    </row>
    <row r="46" spans="1:8">
      <c r="A46" s="118" t="s">
        <v>266</v>
      </c>
      <c r="B46" s="541" t="str">
        <f>IF(ISBLANK(PBW!B46),"",PBW!B46)</f>
        <v>X</v>
      </c>
      <c r="C46" s="557">
        <f>(PBW!C46)</f>
        <v>0</v>
      </c>
      <c r="D46" s="251">
        <f>IF(ISBLANK(PBW!D46),"",PBW!D46)</f>
        <v>0</v>
      </c>
      <c r="E46" s="252">
        <f>IF(ISBLANK(PBW!E46),"",PBW!E46)</f>
        <v>19</v>
      </c>
      <c r="F46" s="119">
        <f>ROUNDUP((11.25*ENR!$S$15),0)</f>
        <v>19</v>
      </c>
      <c r="G46" s="107">
        <f>ROUND($D46*$E46,-2)</f>
        <v>0</v>
      </c>
      <c r="H46" s="83"/>
    </row>
    <row r="47" spans="1:8">
      <c r="A47" s="118" t="s">
        <v>267</v>
      </c>
      <c r="B47" s="541" t="str">
        <f>IF(ISBLANK(PBW!B47),"",PBW!B47)</f>
        <v>X</v>
      </c>
      <c r="C47" s="557">
        <f>(PBW!C47)</f>
        <v>0</v>
      </c>
      <c r="D47" s="253">
        <f>IF(ISBLANK(PBW!D47),"",PBW!D47)</f>
        <v>0</v>
      </c>
      <c r="E47" s="254">
        <f>IF(ISBLANK(PBW!E47),"",PBW!E47)</f>
        <v>33</v>
      </c>
      <c r="F47" s="119">
        <f>ROUNDUP((19.5*ENR!$S$15),0)</f>
        <v>33</v>
      </c>
      <c r="G47" s="107">
        <f>ROUND($D47*$E47,-2)</f>
        <v>0</v>
      </c>
      <c r="H47" s="83"/>
    </row>
    <row r="48" spans="1:8">
      <c r="A48" s="118" t="s">
        <v>268</v>
      </c>
      <c r="B48" s="541" t="str">
        <f>IF(ISBLANK(PBW!B48),"",PBW!B48)</f>
        <v>X</v>
      </c>
      <c r="C48" s="557">
        <f>(PBW!C48)</f>
        <v>0</v>
      </c>
      <c r="D48" s="253">
        <f>IF(ISBLANK(PBW!D48),"",PBW!D48)</f>
        <v>0</v>
      </c>
      <c r="E48" s="254">
        <f>IF(ISBLANK(PBW!E48),"",PBW!E48)</f>
        <v>37</v>
      </c>
      <c r="F48" s="119">
        <f>ROUNDUP((22*ENR!$S$15),0)</f>
        <v>37</v>
      </c>
      <c r="G48" s="107">
        <f>ROUND($D48*$E48,-2)</f>
        <v>0</v>
      </c>
      <c r="H48" s="83"/>
    </row>
    <row r="49" spans="1:8">
      <c r="A49" s="118" t="s">
        <v>269</v>
      </c>
      <c r="B49" s="541" t="str">
        <f>IF(ISBLANK(PBW!B49),"",PBW!B49)</f>
        <v>X</v>
      </c>
      <c r="C49" s="557">
        <f>(PBW!C49)</f>
        <v>0</v>
      </c>
      <c r="D49" s="255">
        <f>IF(ISBLANK(PBW!D49),"",PBW!D49)</f>
        <v>0</v>
      </c>
      <c r="E49" s="256">
        <f>IF(ISBLANK(PBW!E49),"",PBW!E49)</f>
        <v>70</v>
      </c>
      <c r="F49" s="119">
        <f>ROUNDUP((41.5*ENR!$S$15),0)</f>
        <v>70</v>
      </c>
      <c r="G49" s="107">
        <f>ROUND($D49*$E49,-2)</f>
        <v>0</v>
      </c>
      <c r="H49" s="83"/>
    </row>
    <row r="50" spans="1:8">
      <c r="A50" s="248" t="s">
        <v>270</v>
      </c>
      <c r="B50" s="250"/>
      <c r="C50" s="250"/>
      <c r="D50" s="257"/>
      <c r="E50" s="258"/>
      <c r="F50" s="258"/>
      <c r="G50" s="169"/>
      <c r="H50" s="83"/>
    </row>
    <row r="51" spans="1:8">
      <c r="A51" s="118" t="s">
        <v>266</v>
      </c>
      <c r="B51" s="541" t="str">
        <f>IF(ISBLANK(PBW!B51),"",PBW!B51)</f>
        <v>X</v>
      </c>
      <c r="C51" s="557">
        <f>(PBW!C51)</f>
        <v>0</v>
      </c>
      <c r="D51" s="251">
        <f>IF(ISBLANK(PBW!D51),"",PBW!D51)</f>
        <v>0</v>
      </c>
      <c r="E51" s="252">
        <f>IF(ISBLANK(PBW!E51),"",PBW!E51)</f>
        <v>26</v>
      </c>
      <c r="F51" s="119">
        <f>ROUNDUP((15*ENR!$S$15),0)</f>
        <v>26</v>
      </c>
      <c r="G51" s="107">
        <f>ROUND($D51*$E51,-2)</f>
        <v>0</v>
      </c>
      <c r="H51" s="83"/>
    </row>
    <row r="52" spans="1:8">
      <c r="A52" s="118" t="s">
        <v>267</v>
      </c>
      <c r="B52" s="541" t="str">
        <f>IF(ISBLANK(PBW!B52),"",PBW!B52)</f>
        <v>X</v>
      </c>
      <c r="C52" s="557">
        <f>(PBW!C52)</f>
        <v>0</v>
      </c>
      <c r="D52" s="253">
        <f>IF(ISBLANK(PBW!D52),"",PBW!D52)</f>
        <v>0</v>
      </c>
      <c r="E52" s="254">
        <f>IF(ISBLANK(PBW!E52),"",PBW!E52)</f>
        <v>54</v>
      </c>
      <c r="F52" s="119">
        <f>ROUNDUP((32*ENR!$S$15),0)</f>
        <v>54</v>
      </c>
      <c r="G52" s="107">
        <f>ROUND($D52*$E52,-2)</f>
        <v>0</v>
      </c>
      <c r="H52" s="83"/>
    </row>
    <row r="53" spans="1:8">
      <c r="A53" s="118" t="s">
        <v>268</v>
      </c>
      <c r="B53" s="541" t="str">
        <f>IF(ISBLANK(PBW!B53),"",PBW!B53)</f>
        <v>X</v>
      </c>
      <c r="C53" s="557">
        <f>(PBW!C53)</f>
        <v>0</v>
      </c>
      <c r="D53" s="255">
        <f>IF(ISBLANK(PBW!D53),"",PBW!D53)</f>
        <v>0</v>
      </c>
      <c r="E53" s="256">
        <f>IF(ISBLANK(PBW!E53),"",PBW!E53)</f>
        <v>81</v>
      </c>
      <c r="F53" s="119">
        <f>ROUNDUP((48*ENR!$S$15),0)</f>
        <v>81</v>
      </c>
      <c r="G53" s="107">
        <f>ROUND($D53*$E53,-2)</f>
        <v>0</v>
      </c>
      <c r="H53" s="83"/>
    </row>
    <row r="54" spans="1:8">
      <c r="A54" s="248" t="s">
        <v>271</v>
      </c>
      <c r="B54" s="250"/>
      <c r="C54" s="250"/>
      <c r="D54" s="257"/>
      <c r="E54" s="258"/>
      <c r="F54" s="258"/>
      <c r="G54" s="169"/>
      <c r="H54" s="83"/>
    </row>
    <row r="55" spans="1:8">
      <c r="A55" s="118" t="s">
        <v>266</v>
      </c>
      <c r="B55" s="541" t="str">
        <f>IF(ISBLANK(PBW!B55),"",PBW!B55)</f>
        <v>X</v>
      </c>
      <c r="C55" s="557">
        <f>(PBW!C55)</f>
        <v>0</v>
      </c>
      <c r="D55" s="251">
        <f>IF(ISBLANK(PBW!D55),"",PBW!D55)</f>
        <v>0</v>
      </c>
      <c r="E55" s="252">
        <f>IF(ISBLANK(PBW!E55),"",PBW!E55)</f>
        <v>21</v>
      </c>
      <c r="F55" s="119">
        <f>ROUNDUP((12*ENR!$S$15),0)</f>
        <v>21</v>
      </c>
      <c r="G55" s="107">
        <f>ROUND($D55*$E55,-2)</f>
        <v>0</v>
      </c>
      <c r="H55" s="83"/>
    </row>
    <row r="56" spans="1:8">
      <c r="A56" s="118" t="s">
        <v>267</v>
      </c>
      <c r="B56" s="541" t="str">
        <f>IF(ISBLANK(PBW!B56),"",PBW!B56)</f>
        <v>X</v>
      </c>
      <c r="C56" s="557">
        <f>(PBW!C56)</f>
        <v>0</v>
      </c>
      <c r="D56" s="253">
        <f>IF(ISBLANK(PBW!D56),"",PBW!D56)</f>
        <v>0</v>
      </c>
      <c r="E56" s="254">
        <f>IF(ISBLANK(PBW!E56),"",PBW!E56)</f>
        <v>36</v>
      </c>
      <c r="F56" s="119">
        <f>ROUNDUP((21*ENR!$S$15),0)</f>
        <v>36</v>
      </c>
      <c r="G56" s="107">
        <f>ROUND($D56*$E56,-2)</f>
        <v>0</v>
      </c>
      <c r="H56" s="83"/>
    </row>
    <row r="57" spans="1:8">
      <c r="A57" s="118" t="s">
        <v>268</v>
      </c>
      <c r="B57" s="541" t="str">
        <f>IF(ISBLANK(PBW!B57),"",PBW!B57)</f>
        <v>X</v>
      </c>
      <c r="C57" s="557">
        <f>(PBW!C57)</f>
        <v>0</v>
      </c>
      <c r="D57" s="255">
        <f>IF(ISBLANK(PBW!D57),"",PBW!D57)</f>
        <v>0</v>
      </c>
      <c r="E57" s="256">
        <f>IF(ISBLANK(PBW!E57),"",PBW!E57)</f>
        <v>46</v>
      </c>
      <c r="F57" s="119">
        <f>ROUNDUP((27*ENR!$S$15),0)</f>
        <v>46</v>
      </c>
      <c r="G57" s="107">
        <f>ROUND($D57*$E57,-2)</f>
        <v>0</v>
      </c>
      <c r="H57" s="83"/>
    </row>
    <row r="58" spans="1:8">
      <c r="A58" s="83"/>
      <c r="B58" s="83"/>
      <c r="C58" s="83"/>
      <c r="D58" s="83"/>
      <c r="E58" s="83"/>
      <c r="F58" s="84" t="s">
        <v>29</v>
      </c>
      <c r="G58" s="111">
        <f>ROUND(SUM(G$41:G$44,G$46:G$49,G$51:G$53,G$55:G$57),-3)</f>
        <v>0</v>
      </c>
      <c r="H58" s="83"/>
    </row>
    <row r="59" spans="1:8">
      <c r="A59" s="83" t="s">
        <v>127</v>
      </c>
      <c r="B59" s="83"/>
      <c r="C59" s="83"/>
      <c r="D59" s="83"/>
      <c r="E59" s="83"/>
      <c r="F59" s="84"/>
      <c r="G59" s="259" t="str">
        <f>IF(AND($G$37&gt;0,$G$58&gt;0),"ERROR?","")</f>
        <v/>
      </c>
      <c r="H59" s="112">
        <f>($G$58)</f>
        <v>0</v>
      </c>
    </row>
    <row r="60" spans="1:8" ht="6" customHeight="1" thickBot="1">
      <c r="A60" s="83"/>
      <c r="B60" s="83"/>
      <c r="C60" s="83"/>
      <c r="D60" s="83"/>
      <c r="E60" s="83"/>
      <c r="F60" s="84"/>
      <c r="G60" s="93"/>
      <c r="H60" s="83"/>
    </row>
    <row r="61" spans="1:8" ht="13" thickBot="1">
      <c r="A61" s="219" t="s">
        <v>88</v>
      </c>
      <c r="B61" s="260"/>
      <c r="C61" s="260"/>
      <c r="D61" s="260"/>
      <c r="E61" s="260"/>
      <c r="F61" s="260"/>
      <c r="G61" s="223"/>
      <c r="H61" s="88">
        <f>ROUND(($H$26+$H$37+$H$59),-3)</f>
        <v>0</v>
      </c>
    </row>
    <row r="62" spans="1:8">
      <c r="A62" s="83" t="str">
        <f>A3</f>
        <v xml:space="preserve">PROJECT TITLE:  </v>
      </c>
      <c r="B62" s="87" t="str">
        <f>IF($B$3="","",$B$3)</f>
        <v>X</v>
      </c>
      <c r="C62" s="83"/>
      <c r="D62" s="83"/>
      <c r="E62" s="83"/>
      <c r="F62" s="83"/>
      <c r="G62" s="83"/>
      <c r="H62" s="83"/>
    </row>
    <row r="63" spans="1:8">
      <c r="A63" s="84" t="str">
        <f>((A61)&amp;" (from page 1)")</f>
        <v>NEW CONSTRUCTION &amp; REMODELING COST SUBTOTAL (from page 1)</v>
      </c>
      <c r="B63" s="83"/>
      <c r="C63" s="83"/>
      <c r="D63" s="87"/>
      <c r="E63" s="87"/>
      <c r="F63" s="87"/>
      <c r="G63" s="100"/>
      <c r="H63" s="107">
        <f>VALUE($H$61)</f>
        <v>0</v>
      </c>
    </row>
    <row r="64" spans="1:8">
      <c r="A64" s="85" t="s">
        <v>58</v>
      </c>
      <c r="B64" s="83"/>
      <c r="C64" s="83"/>
      <c r="D64" s="87"/>
      <c r="E64" s="87"/>
      <c r="F64" s="87"/>
      <c r="G64" s="85"/>
      <c r="H64" s="128"/>
    </row>
    <row r="65" spans="1:8" ht="6" customHeight="1">
      <c r="A65" s="83"/>
      <c r="B65" s="83"/>
      <c r="C65" s="83"/>
      <c r="D65" s="83"/>
      <c r="E65" s="83"/>
      <c r="F65" s="83"/>
      <c r="G65" s="83"/>
      <c r="H65" s="83"/>
    </row>
    <row r="66" spans="1:8">
      <c r="A66" s="114" t="s">
        <v>62</v>
      </c>
      <c r="B66" s="537" t="s">
        <v>63</v>
      </c>
      <c r="C66" s="537"/>
      <c r="D66" s="537"/>
      <c r="E66" s="129" t="s">
        <v>46</v>
      </c>
      <c r="F66" s="129" t="s">
        <v>49</v>
      </c>
      <c r="G66" s="129" t="s">
        <v>47</v>
      </c>
      <c r="H66" s="130" t="s">
        <v>48</v>
      </c>
    </row>
    <row r="67" spans="1:8">
      <c r="A67" s="261" t="s">
        <v>59</v>
      </c>
      <c r="B67" s="544" t="s">
        <v>90</v>
      </c>
      <c r="C67" s="544"/>
      <c r="D67" s="544"/>
      <c r="E67" s="263">
        <f>IF(ISBLANK(PBW!$E$67),"",PBW!$E$67)</f>
        <v>0</v>
      </c>
      <c r="F67" s="132" t="str">
        <f>IF(ISBLANK(PBW!$F$67),"",PBW!$F$67)</f>
        <v>GSF</v>
      </c>
      <c r="G67" s="133">
        <f>IF(ISBLANK(PBW!$G$67),"",PBW!$G$67)</f>
        <v>21.149843370164376</v>
      </c>
      <c r="H67" s="134">
        <f>ROUND(($E67*$G67),-3)</f>
        <v>0</v>
      </c>
    </row>
    <row r="68" spans="1:8">
      <c r="A68" s="261"/>
      <c r="B68" s="262"/>
      <c r="C68" s="262"/>
      <c r="D68" s="262"/>
      <c r="E68" s="264"/>
      <c r="F68" s="84"/>
      <c r="G68" s="107"/>
      <c r="H68" s="111"/>
    </row>
    <row r="69" spans="1:8">
      <c r="A69" s="554" t="s">
        <v>100</v>
      </c>
      <c r="B69" s="555"/>
      <c r="C69" s="555"/>
      <c r="D69" s="555"/>
      <c r="E69" s="555"/>
      <c r="F69" s="555"/>
      <c r="G69" s="556"/>
      <c r="H69" s="140"/>
    </row>
    <row r="70" spans="1:8">
      <c r="A70" s="399" t="str">
        <f>IF(ISBLANK(PBW!A70),"",PBW!A70)</f>
        <v/>
      </c>
      <c r="B70" s="544" t="str">
        <f>IF(ISBLANK(PBW!B70),"",PBW!B70)</f>
        <v/>
      </c>
      <c r="C70" s="544"/>
      <c r="D70" s="544"/>
      <c r="E70" s="265">
        <f>(PBW!E70)</f>
        <v>0</v>
      </c>
      <c r="F70" s="266" t="str">
        <f>IF(ISBLANK(PBW!F70),"",PBW!F70)</f>
        <v/>
      </c>
      <c r="G70" s="267">
        <f>(PBW!G70)</f>
        <v>0</v>
      </c>
      <c r="H70" s="140">
        <f t="shared" ref="H70:H103" si="4">ROUND(($E70*$G70),-2)</f>
        <v>0</v>
      </c>
    </row>
    <row r="71" spans="1:8">
      <c r="A71" s="400" t="str">
        <f>IF(ISBLANK(PBW!A71),"",PBW!A71)</f>
        <v/>
      </c>
      <c r="B71" s="544" t="str">
        <f>IF(ISBLANK(PBW!B71),"",PBW!B71)</f>
        <v/>
      </c>
      <c r="C71" s="544"/>
      <c r="D71" s="544"/>
      <c r="E71" s="265">
        <f>(PBW!E71)</f>
        <v>0</v>
      </c>
      <c r="F71" s="266" t="str">
        <f>IF(ISBLANK(PBW!F71),"",PBW!F71)</f>
        <v/>
      </c>
      <c r="G71" s="267">
        <f>(PBW!G71)</f>
        <v>0</v>
      </c>
      <c r="H71" s="140">
        <f t="shared" si="4"/>
        <v>0</v>
      </c>
    </row>
    <row r="72" spans="1:8">
      <c r="A72" s="401" t="str">
        <f>IF(ISBLANK(PBW!A72),"",PBW!A72)</f>
        <v/>
      </c>
      <c r="B72" s="544" t="str">
        <f>IF(ISBLANK(PBW!B72),"",PBW!B72)</f>
        <v/>
      </c>
      <c r="C72" s="544"/>
      <c r="D72" s="544"/>
      <c r="E72" s="265">
        <f>(PBW!E72)</f>
        <v>0</v>
      </c>
      <c r="F72" s="266" t="str">
        <f>IF(ISBLANK(PBW!F72),"",PBW!F72)</f>
        <v/>
      </c>
      <c r="G72" s="267">
        <f>(PBW!G72)</f>
        <v>0</v>
      </c>
      <c r="H72" s="140">
        <f t="shared" si="4"/>
        <v>0</v>
      </c>
    </row>
    <row r="73" spans="1:8">
      <c r="A73" s="401" t="str">
        <f>IF(ISBLANK(PBW!A73),"",PBW!A73)</f>
        <v/>
      </c>
      <c r="B73" s="544" t="str">
        <f>IF(ISBLANK(PBW!B73),"",PBW!B73)</f>
        <v/>
      </c>
      <c r="C73" s="544"/>
      <c r="D73" s="544"/>
      <c r="E73" s="265">
        <f>(PBW!E73)</f>
        <v>0</v>
      </c>
      <c r="F73" s="266" t="str">
        <f>IF(ISBLANK(PBW!F73),"",PBW!F73)</f>
        <v/>
      </c>
      <c r="G73" s="267">
        <f>(PBW!G73)</f>
        <v>0</v>
      </c>
      <c r="H73" s="140">
        <f t="shared" si="4"/>
        <v>0</v>
      </c>
    </row>
    <row r="74" spans="1:8">
      <c r="A74" s="402" t="str">
        <f>IF(ISBLANK(PBW!A74),"",PBW!A74)</f>
        <v/>
      </c>
      <c r="B74" s="546" t="str">
        <f>IF(ISBLANK(PBW!B74),"",PBW!B74)</f>
        <v/>
      </c>
      <c r="C74" s="547"/>
      <c r="D74" s="548"/>
      <c r="E74" s="268">
        <f>(PBW!E74)</f>
        <v>0</v>
      </c>
      <c r="F74" s="269" t="str">
        <f>IF(ISBLANK(PBW!F74),"",PBW!F74)</f>
        <v/>
      </c>
      <c r="G74" s="270">
        <f>(PBW!G74)</f>
        <v>0</v>
      </c>
      <c r="H74" s="140">
        <f t="shared" si="4"/>
        <v>0</v>
      </c>
    </row>
    <row r="75" spans="1:8">
      <c r="A75" s="400" t="str">
        <f>IF(ISBLANK(PBW!A75),"",PBW!A75)</f>
        <v/>
      </c>
      <c r="B75" s="543" t="str">
        <f>IF(ISBLANK(PBW!B75),"",PBW!B75)</f>
        <v/>
      </c>
      <c r="C75" s="544"/>
      <c r="D75" s="545"/>
      <c r="E75" s="265">
        <f>(PBW!E75)</f>
        <v>0</v>
      </c>
      <c r="F75" s="266" t="str">
        <f>IF(ISBLANK(PBW!F75),"",PBW!F75)</f>
        <v/>
      </c>
      <c r="G75" s="267">
        <f>(PBW!G75)</f>
        <v>0</v>
      </c>
      <c r="H75" s="140">
        <f t="shared" si="4"/>
        <v>0</v>
      </c>
    </row>
    <row r="76" spans="1:8">
      <c r="A76" s="401" t="str">
        <f>IF(ISBLANK(PBW!A76),"",PBW!A76)</f>
        <v/>
      </c>
      <c r="B76" s="543" t="str">
        <f>IF(ISBLANK(PBW!B76),"",PBW!B76)</f>
        <v/>
      </c>
      <c r="C76" s="544"/>
      <c r="D76" s="545"/>
      <c r="E76" s="265">
        <f>(PBW!E76)</f>
        <v>0</v>
      </c>
      <c r="F76" s="266" t="str">
        <f>IF(ISBLANK(PBW!F76),"",PBW!F76)</f>
        <v/>
      </c>
      <c r="G76" s="267">
        <f>(PBW!G76)</f>
        <v>0</v>
      </c>
      <c r="H76" s="140">
        <f t="shared" si="4"/>
        <v>0</v>
      </c>
    </row>
    <row r="77" spans="1:8">
      <c r="A77" s="400" t="str">
        <f>IF(ISBLANK(PBW!A77),"",PBW!A77)</f>
        <v/>
      </c>
      <c r="B77" s="543" t="str">
        <f>IF(ISBLANK(PBW!B77),"",PBW!B77)</f>
        <v/>
      </c>
      <c r="C77" s="544"/>
      <c r="D77" s="545"/>
      <c r="E77" s="265">
        <f>(PBW!E77)</f>
        <v>0</v>
      </c>
      <c r="F77" s="266" t="str">
        <f>IF(ISBLANK(PBW!F77),"",PBW!F77)</f>
        <v/>
      </c>
      <c r="G77" s="267">
        <f>(PBW!G77)</f>
        <v>0</v>
      </c>
      <c r="H77" s="140">
        <f t="shared" si="4"/>
        <v>0</v>
      </c>
    </row>
    <row r="78" spans="1:8">
      <c r="A78" s="400" t="str">
        <f>IF(ISBLANK(PBW!A78),"",PBW!A78)</f>
        <v/>
      </c>
      <c r="B78" s="543" t="str">
        <f>IF(ISBLANK(PBW!B78),"",PBW!B78)</f>
        <v/>
      </c>
      <c r="C78" s="544"/>
      <c r="D78" s="545"/>
      <c r="E78" s="265">
        <f>(PBW!E78)</f>
        <v>0</v>
      </c>
      <c r="F78" s="266" t="str">
        <f>IF(ISBLANK(PBW!F78),"",PBW!F78)</f>
        <v/>
      </c>
      <c r="G78" s="267">
        <f>(PBW!G78)</f>
        <v>0</v>
      </c>
      <c r="H78" s="140">
        <f t="shared" si="4"/>
        <v>0</v>
      </c>
    </row>
    <row r="79" spans="1:8">
      <c r="A79" s="403" t="str">
        <f>IF(ISBLANK(PBW!A79),"",PBW!A79)</f>
        <v/>
      </c>
      <c r="B79" s="546" t="str">
        <f>IF(ISBLANK(PBW!B79),"",PBW!B79)</f>
        <v/>
      </c>
      <c r="C79" s="547"/>
      <c r="D79" s="548"/>
      <c r="E79" s="268">
        <f>(PBW!E79)</f>
        <v>0</v>
      </c>
      <c r="F79" s="269" t="str">
        <f>IF(ISBLANK(PBW!F79),"",PBW!F79)</f>
        <v/>
      </c>
      <c r="G79" s="270">
        <f>(PBW!G79)</f>
        <v>0</v>
      </c>
      <c r="H79" s="140">
        <f t="shared" si="4"/>
        <v>0</v>
      </c>
    </row>
    <row r="80" spans="1:8">
      <c r="A80" s="401" t="str">
        <f>IF(ISBLANK(PBW!A80),"",PBW!A80)</f>
        <v/>
      </c>
      <c r="B80" s="543" t="str">
        <f>IF(ISBLANK(PBW!B80),"",PBW!B80)</f>
        <v/>
      </c>
      <c r="C80" s="544"/>
      <c r="D80" s="545"/>
      <c r="E80" s="265">
        <f>(PBW!E80)</f>
        <v>0</v>
      </c>
      <c r="F80" s="266" t="str">
        <f>IF(ISBLANK(PBW!F80),"",PBW!F80)</f>
        <v/>
      </c>
      <c r="G80" s="267">
        <f>(PBW!G80)</f>
        <v>0</v>
      </c>
      <c r="H80" s="140">
        <f t="shared" si="4"/>
        <v>0</v>
      </c>
    </row>
    <row r="81" spans="1:8">
      <c r="A81" s="401" t="str">
        <f>IF(ISBLANK(PBW!A81),"",PBW!A81)</f>
        <v/>
      </c>
      <c r="B81" s="543" t="str">
        <f>IF(ISBLANK(PBW!B81),"",PBW!B81)</f>
        <v/>
      </c>
      <c r="C81" s="544"/>
      <c r="D81" s="545"/>
      <c r="E81" s="265">
        <f>(PBW!E81)</f>
        <v>0</v>
      </c>
      <c r="F81" s="266" t="str">
        <f>IF(ISBLANK(PBW!F81),"",PBW!F81)</f>
        <v/>
      </c>
      <c r="G81" s="267">
        <f>(PBW!G81)</f>
        <v>0</v>
      </c>
      <c r="H81" s="140">
        <f t="shared" si="4"/>
        <v>0</v>
      </c>
    </row>
    <row r="82" spans="1:8">
      <c r="A82" s="401" t="str">
        <f>IF(ISBLANK(PBW!A82),"",PBW!A82)</f>
        <v/>
      </c>
      <c r="B82" s="543" t="str">
        <f>IF(ISBLANK(PBW!B82),"",PBW!B82)</f>
        <v/>
      </c>
      <c r="C82" s="544"/>
      <c r="D82" s="545"/>
      <c r="E82" s="265">
        <f>(PBW!E82)</f>
        <v>0</v>
      </c>
      <c r="F82" s="266" t="str">
        <f>IF(ISBLANK(PBW!F82),"",PBW!F82)</f>
        <v/>
      </c>
      <c r="G82" s="267">
        <f>(PBW!G82)</f>
        <v>0</v>
      </c>
      <c r="H82" s="140">
        <f t="shared" si="4"/>
        <v>0</v>
      </c>
    </row>
    <row r="83" spans="1:8">
      <c r="A83" s="401" t="str">
        <f>IF(ISBLANK(PBW!A83),"",PBW!A83)</f>
        <v/>
      </c>
      <c r="B83" s="543" t="str">
        <f>IF(ISBLANK(PBW!B83),"",PBW!B83)</f>
        <v/>
      </c>
      <c r="C83" s="544"/>
      <c r="D83" s="545"/>
      <c r="E83" s="265">
        <f>(PBW!E83)</f>
        <v>0</v>
      </c>
      <c r="F83" s="266" t="str">
        <f>IF(ISBLANK(PBW!F83),"",PBW!F83)</f>
        <v/>
      </c>
      <c r="G83" s="267">
        <f>(PBW!G83)</f>
        <v>0</v>
      </c>
      <c r="H83" s="140">
        <f t="shared" si="4"/>
        <v>0</v>
      </c>
    </row>
    <row r="84" spans="1:8">
      <c r="A84" s="403" t="str">
        <f>IF(ISBLANK(PBW!A84),"",PBW!A84)</f>
        <v/>
      </c>
      <c r="B84" s="546" t="str">
        <f>IF(ISBLANK(PBW!B84),"",PBW!B84)</f>
        <v/>
      </c>
      <c r="C84" s="547"/>
      <c r="D84" s="548"/>
      <c r="E84" s="268">
        <f>(PBW!E84)</f>
        <v>0</v>
      </c>
      <c r="F84" s="269" t="str">
        <f>IF(ISBLANK(PBW!F84),"",PBW!F84)</f>
        <v/>
      </c>
      <c r="G84" s="270">
        <f>(PBW!G84)</f>
        <v>0</v>
      </c>
      <c r="H84" s="140">
        <f t="shared" si="4"/>
        <v>0</v>
      </c>
    </row>
    <row r="85" spans="1:8">
      <c r="A85" s="401" t="str">
        <f>IF(ISBLANK(PBW!A85),"",PBW!A85)</f>
        <v/>
      </c>
      <c r="B85" s="543" t="str">
        <f>IF(ISBLANK(PBW!B85),"",PBW!B85)</f>
        <v/>
      </c>
      <c r="C85" s="544"/>
      <c r="D85" s="545"/>
      <c r="E85" s="265">
        <f>(PBW!E85)</f>
        <v>0</v>
      </c>
      <c r="F85" s="266" t="str">
        <f>IF(ISBLANK(PBW!F85),"",PBW!F85)</f>
        <v/>
      </c>
      <c r="G85" s="267">
        <f>(PBW!G85)</f>
        <v>0</v>
      </c>
      <c r="H85" s="140">
        <f t="shared" si="4"/>
        <v>0</v>
      </c>
    </row>
    <row r="86" spans="1:8">
      <c r="A86" s="401" t="str">
        <f>IF(ISBLANK(PBW!A86),"",PBW!A86)</f>
        <v/>
      </c>
      <c r="B86" s="543" t="str">
        <f>IF(ISBLANK(PBW!B86),"",PBW!B86)</f>
        <v/>
      </c>
      <c r="C86" s="544"/>
      <c r="D86" s="545"/>
      <c r="E86" s="265">
        <f>(PBW!E86)</f>
        <v>0</v>
      </c>
      <c r="F86" s="266" t="str">
        <f>IF(ISBLANK(PBW!F86),"",PBW!F86)</f>
        <v/>
      </c>
      <c r="G86" s="267">
        <f>(PBW!G86)</f>
        <v>0</v>
      </c>
      <c r="H86" s="140">
        <f t="shared" si="4"/>
        <v>0</v>
      </c>
    </row>
    <row r="87" spans="1:8">
      <c r="A87" s="401" t="str">
        <f>IF(ISBLANK(PBW!A87),"",PBW!A87)</f>
        <v/>
      </c>
      <c r="B87" s="543" t="str">
        <f>IF(ISBLANK(PBW!B87),"",PBW!B87)</f>
        <v/>
      </c>
      <c r="C87" s="544"/>
      <c r="D87" s="545"/>
      <c r="E87" s="265">
        <f>(PBW!E87)</f>
        <v>0</v>
      </c>
      <c r="F87" s="266" t="str">
        <f>IF(ISBLANK(PBW!F87),"",PBW!F87)</f>
        <v/>
      </c>
      <c r="G87" s="267">
        <f>(PBW!G87)</f>
        <v>0</v>
      </c>
      <c r="H87" s="140">
        <f t="shared" si="4"/>
        <v>0</v>
      </c>
    </row>
    <row r="88" spans="1:8">
      <c r="A88" s="401" t="str">
        <f>IF(ISBLANK(PBW!A88),"",PBW!A88)</f>
        <v/>
      </c>
      <c r="B88" s="543" t="str">
        <f>IF(ISBLANK(PBW!B88),"",PBW!B88)</f>
        <v/>
      </c>
      <c r="C88" s="544"/>
      <c r="D88" s="545"/>
      <c r="E88" s="265">
        <f>(PBW!E88)</f>
        <v>0</v>
      </c>
      <c r="F88" s="266" t="str">
        <f>IF(ISBLANK(PBW!F88),"",PBW!F88)</f>
        <v/>
      </c>
      <c r="G88" s="267">
        <f>(PBW!G88)</f>
        <v>0</v>
      </c>
      <c r="H88" s="140">
        <f t="shared" si="4"/>
        <v>0</v>
      </c>
    </row>
    <row r="89" spans="1:8">
      <c r="A89" s="403" t="str">
        <f>IF(ISBLANK(PBW!A89),"",PBW!A89)</f>
        <v/>
      </c>
      <c r="B89" s="546" t="str">
        <f>IF(ISBLANK(PBW!B89),"",PBW!B89)</f>
        <v/>
      </c>
      <c r="C89" s="547"/>
      <c r="D89" s="548"/>
      <c r="E89" s="268">
        <f>(PBW!E89)</f>
        <v>0</v>
      </c>
      <c r="F89" s="269" t="str">
        <f>IF(ISBLANK(PBW!F89),"",PBW!F89)</f>
        <v/>
      </c>
      <c r="G89" s="270">
        <f>(PBW!G89)</f>
        <v>0</v>
      </c>
      <c r="H89" s="140">
        <f t="shared" si="4"/>
        <v>0</v>
      </c>
    </row>
    <row r="90" spans="1:8">
      <c r="A90" s="401" t="str">
        <f>IF(ISBLANK(PBW!A90),"",PBW!A90)</f>
        <v/>
      </c>
      <c r="B90" s="543" t="str">
        <f>IF(ISBLANK(PBW!B90),"",PBW!B90)</f>
        <v/>
      </c>
      <c r="C90" s="544"/>
      <c r="D90" s="545"/>
      <c r="E90" s="265">
        <f>(PBW!E90)</f>
        <v>0</v>
      </c>
      <c r="F90" s="266" t="str">
        <f>IF(ISBLANK(PBW!F90),"",PBW!F90)</f>
        <v/>
      </c>
      <c r="G90" s="267">
        <f>(PBW!G90)</f>
        <v>0</v>
      </c>
      <c r="H90" s="140">
        <f t="shared" si="4"/>
        <v>0</v>
      </c>
    </row>
    <row r="91" spans="1:8">
      <c r="A91" s="401" t="str">
        <f>IF(ISBLANK(PBW!A91),"",PBW!A91)</f>
        <v/>
      </c>
      <c r="B91" s="543" t="str">
        <f>IF(ISBLANK(PBW!B91),"",PBW!B91)</f>
        <v/>
      </c>
      <c r="C91" s="544"/>
      <c r="D91" s="545"/>
      <c r="E91" s="265">
        <f>(PBW!E91)</f>
        <v>0</v>
      </c>
      <c r="F91" s="266" t="str">
        <f>IF(ISBLANK(PBW!F91),"",PBW!F91)</f>
        <v/>
      </c>
      <c r="G91" s="267">
        <f>(PBW!G91)</f>
        <v>0</v>
      </c>
      <c r="H91" s="140">
        <f t="shared" si="4"/>
        <v>0</v>
      </c>
    </row>
    <row r="92" spans="1:8">
      <c r="A92" s="401" t="str">
        <f>IF(ISBLANK(PBW!A92),"",PBW!A92)</f>
        <v/>
      </c>
      <c r="B92" s="543" t="str">
        <f>IF(ISBLANK(PBW!B92),"",PBW!B92)</f>
        <v/>
      </c>
      <c r="C92" s="544"/>
      <c r="D92" s="545"/>
      <c r="E92" s="265">
        <f>(PBW!E92)</f>
        <v>0</v>
      </c>
      <c r="F92" s="266" t="str">
        <f>IF(ISBLANK(PBW!F92),"",PBW!F92)</f>
        <v/>
      </c>
      <c r="G92" s="267">
        <f>(PBW!G92)</f>
        <v>0</v>
      </c>
      <c r="H92" s="140">
        <f t="shared" si="4"/>
        <v>0</v>
      </c>
    </row>
    <row r="93" spans="1:8">
      <c r="A93" s="401" t="str">
        <f>IF(ISBLANK(PBW!A93),"",PBW!A93)</f>
        <v/>
      </c>
      <c r="B93" s="543" t="str">
        <f>IF(ISBLANK(PBW!B93),"",PBW!B93)</f>
        <v/>
      </c>
      <c r="C93" s="544"/>
      <c r="D93" s="545"/>
      <c r="E93" s="265">
        <f>(PBW!E93)</f>
        <v>0</v>
      </c>
      <c r="F93" s="266" t="str">
        <f>IF(ISBLANK(PBW!F93),"",PBW!F93)</f>
        <v/>
      </c>
      <c r="G93" s="267">
        <f>(PBW!G93)</f>
        <v>0</v>
      </c>
      <c r="H93" s="140">
        <f t="shared" si="4"/>
        <v>0</v>
      </c>
    </row>
    <row r="94" spans="1:8">
      <c r="A94" s="403" t="str">
        <f>IF(ISBLANK(PBW!A94),"",PBW!A94)</f>
        <v/>
      </c>
      <c r="B94" s="546" t="str">
        <f>IF(ISBLANK(PBW!B94),"",PBW!B94)</f>
        <v/>
      </c>
      <c r="C94" s="547"/>
      <c r="D94" s="548"/>
      <c r="E94" s="268">
        <f>(PBW!E94)</f>
        <v>0</v>
      </c>
      <c r="F94" s="269" t="str">
        <f>IF(ISBLANK(PBW!F94),"",PBW!F94)</f>
        <v/>
      </c>
      <c r="G94" s="270">
        <f>(PBW!G94)</f>
        <v>0</v>
      </c>
      <c r="H94" s="140">
        <f t="shared" si="4"/>
        <v>0</v>
      </c>
    </row>
    <row r="95" spans="1:8">
      <c r="A95" s="401" t="str">
        <f>IF(ISBLANK(PBW!A95),"",PBW!A95)</f>
        <v/>
      </c>
      <c r="B95" s="543" t="str">
        <f>IF(ISBLANK(PBW!B95),"",PBW!B95)</f>
        <v/>
      </c>
      <c r="C95" s="544"/>
      <c r="D95" s="545"/>
      <c r="E95" s="265">
        <f>(PBW!E95)</f>
        <v>0</v>
      </c>
      <c r="F95" s="266" t="str">
        <f>IF(ISBLANK(PBW!F95),"",PBW!F95)</f>
        <v/>
      </c>
      <c r="G95" s="267">
        <f>(PBW!G95)</f>
        <v>0</v>
      </c>
      <c r="H95" s="140">
        <f t="shared" si="4"/>
        <v>0</v>
      </c>
    </row>
    <row r="96" spans="1:8">
      <c r="A96" s="401" t="str">
        <f>IF(ISBLANK(PBW!A96),"",PBW!A96)</f>
        <v/>
      </c>
      <c r="B96" s="543" t="str">
        <f>IF(ISBLANK(PBW!B96),"",PBW!B96)</f>
        <v/>
      </c>
      <c r="C96" s="544"/>
      <c r="D96" s="545"/>
      <c r="E96" s="265">
        <f>(PBW!E96)</f>
        <v>0</v>
      </c>
      <c r="F96" s="266" t="str">
        <f>IF(ISBLANK(PBW!F96),"",PBW!F96)</f>
        <v/>
      </c>
      <c r="G96" s="267">
        <f>(PBW!G96)</f>
        <v>0</v>
      </c>
      <c r="H96" s="140">
        <f t="shared" si="4"/>
        <v>0</v>
      </c>
    </row>
    <row r="97" spans="1:8">
      <c r="A97" s="401" t="str">
        <f>IF(ISBLANK(PBW!A97),"",PBW!A97)</f>
        <v/>
      </c>
      <c r="B97" s="543" t="str">
        <f>IF(ISBLANK(PBW!B97),"",PBW!B97)</f>
        <v/>
      </c>
      <c r="C97" s="544"/>
      <c r="D97" s="545"/>
      <c r="E97" s="265">
        <f>(PBW!E97)</f>
        <v>0</v>
      </c>
      <c r="F97" s="266" t="str">
        <f>IF(ISBLANK(PBW!F97),"",PBW!F97)</f>
        <v/>
      </c>
      <c r="G97" s="267">
        <f>(PBW!G97)</f>
        <v>0</v>
      </c>
      <c r="H97" s="140">
        <f t="shared" si="4"/>
        <v>0</v>
      </c>
    </row>
    <row r="98" spans="1:8">
      <c r="A98" s="401" t="str">
        <f>IF(ISBLANK(PBW!A98),"",PBW!A98)</f>
        <v/>
      </c>
      <c r="B98" s="543" t="str">
        <f>IF(ISBLANK(PBW!B98),"",PBW!B98)</f>
        <v/>
      </c>
      <c r="C98" s="544"/>
      <c r="D98" s="545"/>
      <c r="E98" s="265">
        <f>(PBW!E98)</f>
        <v>0</v>
      </c>
      <c r="F98" s="266" t="str">
        <f>IF(ISBLANK(PBW!F98),"",PBW!F98)</f>
        <v/>
      </c>
      <c r="G98" s="267">
        <f>(PBW!G98)</f>
        <v>0</v>
      </c>
      <c r="H98" s="140">
        <f t="shared" si="4"/>
        <v>0</v>
      </c>
    </row>
    <row r="99" spans="1:8">
      <c r="A99" s="403" t="str">
        <f>IF(ISBLANK(PBW!A99),"",PBW!A99)</f>
        <v/>
      </c>
      <c r="B99" s="546" t="str">
        <f>IF(ISBLANK(PBW!B99),"",PBW!B99)</f>
        <v/>
      </c>
      <c r="C99" s="547"/>
      <c r="D99" s="548"/>
      <c r="E99" s="268">
        <f>(PBW!E99)</f>
        <v>0</v>
      </c>
      <c r="F99" s="269" t="str">
        <f>IF(ISBLANK(PBW!F99),"",PBW!F99)</f>
        <v/>
      </c>
      <c r="G99" s="270">
        <f>(PBW!G99)</f>
        <v>0</v>
      </c>
      <c r="H99" s="140">
        <f t="shared" si="4"/>
        <v>0</v>
      </c>
    </row>
    <row r="100" spans="1:8">
      <c r="A100" s="400" t="str">
        <f>IF(ISBLANK(PBW!A100),"",PBW!A100)</f>
        <v/>
      </c>
      <c r="B100" s="543" t="str">
        <f>IF(ISBLANK(PBW!B100),"",PBW!B100)</f>
        <v/>
      </c>
      <c r="C100" s="544"/>
      <c r="D100" s="545"/>
      <c r="E100" s="265">
        <f>(PBW!E100)</f>
        <v>0</v>
      </c>
      <c r="F100" s="266" t="str">
        <f>IF(ISBLANK(PBW!F100),"",PBW!F100)</f>
        <v/>
      </c>
      <c r="G100" s="267">
        <f>(PBW!G100)</f>
        <v>0</v>
      </c>
      <c r="H100" s="140">
        <f t="shared" si="4"/>
        <v>0</v>
      </c>
    </row>
    <row r="101" spans="1:8">
      <c r="A101" s="400" t="str">
        <f>IF(ISBLANK(PBW!A101),"",PBW!A101)</f>
        <v/>
      </c>
      <c r="B101" s="543" t="str">
        <f>IF(ISBLANK(PBW!B101),"",PBW!B101)</f>
        <v/>
      </c>
      <c r="C101" s="544"/>
      <c r="D101" s="545"/>
      <c r="E101" s="265">
        <f>(PBW!E101)</f>
        <v>0</v>
      </c>
      <c r="F101" s="266" t="str">
        <f>IF(ISBLANK(PBW!F101),"",PBW!F101)</f>
        <v/>
      </c>
      <c r="G101" s="267">
        <f>(PBW!G101)</f>
        <v>0</v>
      </c>
      <c r="H101" s="140">
        <f t="shared" si="4"/>
        <v>0</v>
      </c>
    </row>
    <row r="102" spans="1:8">
      <c r="A102" s="401" t="str">
        <f>IF(ISBLANK(PBW!A102),"",PBW!A102)</f>
        <v/>
      </c>
      <c r="B102" s="543" t="str">
        <f>IF(ISBLANK(PBW!B102),"",PBW!B102)</f>
        <v/>
      </c>
      <c r="C102" s="544"/>
      <c r="D102" s="545"/>
      <c r="E102" s="265">
        <f>(PBW!E102)</f>
        <v>0</v>
      </c>
      <c r="F102" s="266" t="str">
        <f>IF(ISBLANK(PBW!F102),"",PBW!F102)</f>
        <v/>
      </c>
      <c r="G102" s="267">
        <f>(PBW!G102)</f>
        <v>0</v>
      </c>
      <c r="H102" s="140">
        <f t="shared" si="4"/>
        <v>0</v>
      </c>
    </row>
    <row r="103" spans="1:8">
      <c r="A103" s="404" t="str">
        <f>IF(ISBLANK(PBW!A103),"",PBW!A103)</f>
        <v/>
      </c>
      <c r="B103" s="550" t="str">
        <f>IF(ISBLANK(PBW!B103),"",PBW!B103)</f>
        <v/>
      </c>
      <c r="C103" s="551"/>
      <c r="D103" s="552"/>
      <c r="E103" s="271">
        <f>(PBW!E103)</f>
        <v>0</v>
      </c>
      <c r="F103" s="272" t="str">
        <f>IF(ISBLANK(PBW!F103),"",PBW!F103)</f>
        <v/>
      </c>
      <c r="G103" s="273">
        <f>(PBW!G103)</f>
        <v>0</v>
      </c>
      <c r="H103" s="140">
        <f t="shared" si="4"/>
        <v>0</v>
      </c>
    </row>
    <row r="104" spans="1:8">
      <c r="A104" s="532" t="s">
        <v>58</v>
      </c>
      <c r="B104" s="532"/>
      <c r="C104" s="532"/>
      <c r="D104" s="532"/>
      <c r="E104" s="532"/>
      <c r="F104" s="532"/>
      <c r="G104" s="532"/>
      <c r="H104" s="112">
        <f>ROUND(SUM(H$70:H$103),-3)</f>
        <v>0</v>
      </c>
    </row>
    <row r="105" spans="1:8">
      <c r="A105" s="274"/>
      <c r="B105" s="553"/>
      <c r="C105" s="553"/>
      <c r="D105" s="553"/>
      <c r="E105" s="275"/>
      <c r="F105" s="276"/>
      <c r="G105" s="277"/>
      <c r="H105" s="140"/>
    </row>
    <row r="106" spans="1:8">
      <c r="A106" s="554" t="s">
        <v>80</v>
      </c>
      <c r="B106" s="555"/>
      <c r="C106" s="555"/>
      <c r="D106" s="555"/>
      <c r="E106" s="555"/>
      <c r="F106" s="555"/>
      <c r="G106" s="556"/>
      <c r="H106" s="140"/>
    </row>
    <row r="107" spans="1:8">
      <c r="A107" s="399" t="str">
        <f>IF(ISBLANK(PBW!A107),"",PBW!A107)</f>
        <v/>
      </c>
      <c r="B107" s="544" t="str">
        <f>IF(ISBLANK(PBW!B107),"",PBW!B107)</f>
        <v/>
      </c>
      <c r="C107" s="544"/>
      <c r="D107" s="544"/>
      <c r="E107" s="278">
        <f>(PBW!E107)</f>
        <v>0</v>
      </c>
      <c r="F107" s="279" t="str">
        <f>IF(ISBLANK(PBW!F107),"",PBW!F107)</f>
        <v/>
      </c>
      <c r="G107" s="280">
        <f>(PBW!G107)</f>
        <v>0</v>
      </c>
      <c r="H107" s="140">
        <f t="shared" ref="H107:H112" si="5">ROUND(($E107*$G107),-2)</f>
        <v>0</v>
      </c>
    </row>
    <row r="108" spans="1:8">
      <c r="A108" s="399" t="str">
        <f>IF(ISBLANK(PBW!A108),"",PBW!A108)</f>
        <v/>
      </c>
      <c r="B108" s="543" t="str">
        <f>IF(ISBLANK(PBW!B108),"",PBW!B108)</f>
        <v/>
      </c>
      <c r="C108" s="544"/>
      <c r="D108" s="545"/>
      <c r="E108" s="278">
        <f>(PBW!E108)</f>
        <v>0</v>
      </c>
      <c r="F108" s="279" t="str">
        <f>IF(ISBLANK(PBW!F108),"",PBW!F108)</f>
        <v/>
      </c>
      <c r="G108" s="280">
        <f>(PBW!G108)</f>
        <v>0</v>
      </c>
      <c r="H108" s="140">
        <f t="shared" si="5"/>
        <v>0</v>
      </c>
    </row>
    <row r="109" spans="1:8">
      <c r="A109" s="405" t="str">
        <f>IF(ISBLANK(PBW!A109),"",PBW!A109)</f>
        <v/>
      </c>
      <c r="B109" s="546" t="str">
        <f>IF(ISBLANK(PBW!B109),"",PBW!B109)</f>
        <v/>
      </c>
      <c r="C109" s="547"/>
      <c r="D109" s="548"/>
      <c r="E109" s="281">
        <f>(PBW!E109)</f>
        <v>0</v>
      </c>
      <c r="F109" s="282" t="str">
        <f>IF(ISBLANK(PBW!F109),"",PBW!F109)</f>
        <v/>
      </c>
      <c r="G109" s="283">
        <f>(PBW!G109)</f>
        <v>0</v>
      </c>
      <c r="H109" s="140">
        <f t="shared" si="5"/>
        <v>0</v>
      </c>
    </row>
    <row r="110" spans="1:8">
      <c r="A110" s="399" t="str">
        <f>IF(ISBLANK(PBW!A110),"",PBW!A110)</f>
        <v/>
      </c>
      <c r="B110" s="543" t="str">
        <f>IF(ISBLANK(PBW!B110),"",PBW!B110)</f>
        <v/>
      </c>
      <c r="C110" s="544"/>
      <c r="D110" s="545"/>
      <c r="E110" s="278">
        <f>(PBW!E110)</f>
        <v>0</v>
      </c>
      <c r="F110" s="279" t="str">
        <f>IF(ISBLANK(PBW!F110),"",PBW!F110)</f>
        <v/>
      </c>
      <c r="G110" s="280">
        <f>(PBW!G110)</f>
        <v>0</v>
      </c>
      <c r="H110" s="140">
        <f t="shared" si="5"/>
        <v>0</v>
      </c>
    </row>
    <row r="111" spans="1:8">
      <c r="A111" s="399" t="str">
        <f>IF(ISBLANK(PBW!A111),"",PBW!A111)</f>
        <v/>
      </c>
      <c r="B111" s="544" t="str">
        <f>IF(ISBLANK(PBW!B111),"",PBW!B111)</f>
        <v/>
      </c>
      <c r="C111" s="544"/>
      <c r="D111" s="544"/>
      <c r="E111" s="278">
        <f>(PBW!E111)</f>
        <v>0</v>
      </c>
      <c r="F111" s="279" t="str">
        <f>IF(ISBLANK(PBW!F111),"",PBW!F111)</f>
        <v/>
      </c>
      <c r="G111" s="280">
        <f>(PBW!G111)</f>
        <v>0</v>
      </c>
      <c r="H111" s="140">
        <f t="shared" si="5"/>
        <v>0</v>
      </c>
    </row>
    <row r="112" spans="1:8">
      <c r="A112" s="406" t="str">
        <f>IF(ISBLANK(PBW!A112),"",PBW!A112)</f>
        <v/>
      </c>
      <c r="B112" s="549" t="str">
        <f>IF(ISBLANK(PBW!B112),"",PBW!B112)</f>
        <v/>
      </c>
      <c r="C112" s="549"/>
      <c r="D112" s="549"/>
      <c r="E112" s="284">
        <f>(PBW!E112)</f>
        <v>0</v>
      </c>
      <c r="F112" s="285" t="str">
        <f>IF(ISBLANK(PBW!F112),"",PBW!F112)</f>
        <v/>
      </c>
      <c r="G112" s="286">
        <f>(PBW!G112)</f>
        <v>0</v>
      </c>
      <c r="H112" s="140">
        <f t="shared" si="5"/>
        <v>0</v>
      </c>
    </row>
    <row r="113" spans="1:8">
      <c r="A113" s="520" t="s">
        <v>83</v>
      </c>
      <c r="B113" s="520"/>
      <c r="C113" s="520"/>
      <c r="D113" s="520"/>
      <c r="E113" s="520"/>
      <c r="F113" s="520"/>
      <c r="G113" s="521"/>
      <c r="H113" s="112">
        <f>ROUND(SUM(H$107:H$112),-3)</f>
        <v>0</v>
      </c>
    </row>
    <row r="114" spans="1:8">
      <c r="A114" s="85"/>
      <c r="B114" s="83"/>
      <c r="C114" s="83"/>
      <c r="D114" s="83"/>
      <c r="E114" s="111"/>
      <c r="F114" s="83"/>
      <c r="G114" s="100"/>
      <c r="H114" s="107"/>
    </row>
    <row r="115" spans="1:8">
      <c r="A115" s="85" t="s">
        <v>86</v>
      </c>
      <c r="B115" s="83"/>
      <c r="C115" s="83"/>
      <c r="D115" s="83"/>
      <c r="E115" s="111"/>
      <c r="F115" s="83"/>
      <c r="G115" s="100"/>
      <c r="H115" s="112">
        <f>SUM($H$67,$H$104,$H$113)</f>
        <v>0</v>
      </c>
    </row>
    <row r="116" spans="1:8" ht="13" thickBot="1">
      <c r="A116" s="83"/>
      <c r="B116" s="83"/>
      <c r="C116" s="83"/>
      <c r="D116" s="83"/>
      <c r="E116" s="83"/>
      <c r="F116" s="83"/>
      <c r="G116" s="83"/>
      <c r="H116" s="93"/>
    </row>
    <row r="117" spans="1:8" ht="13" thickBot="1">
      <c r="A117" s="219" t="s">
        <v>87</v>
      </c>
      <c r="B117" s="260"/>
      <c r="C117" s="260"/>
      <c r="D117" s="260"/>
      <c r="E117" s="260"/>
      <c r="F117" s="219"/>
      <c r="G117" s="223"/>
      <c r="H117" s="88">
        <f>ROUND(SUM($H$63,$H$115),-3)</f>
        <v>0</v>
      </c>
    </row>
    <row r="118" spans="1:8">
      <c r="A118" s="85"/>
      <c r="B118" s="87"/>
      <c r="C118" s="87"/>
      <c r="D118" s="87"/>
      <c r="E118" s="87"/>
      <c r="F118" s="85"/>
      <c r="G118" s="146"/>
      <c r="H118" s="147"/>
    </row>
    <row r="119" spans="1:8">
      <c r="A119" s="84" t="s">
        <v>60</v>
      </c>
      <c r="B119" s="83" t="s">
        <v>61</v>
      </c>
      <c r="C119" s="83"/>
      <c r="D119" s="83"/>
      <c r="E119" s="263">
        <f>(PBW!E119)</f>
        <v>0</v>
      </c>
      <c r="F119" s="132" t="str">
        <f>IF(ISBLANK(PBW!F119),"",PBW!F119)</f>
        <v>SF</v>
      </c>
      <c r="G119" s="350">
        <f>(PBW!G119)</f>
        <v>0</v>
      </c>
      <c r="H119" s="336">
        <f>ROUND(($E119*$G119),-3)</f>
        <v>0</v>
      </c>
    </row>
    <row r="120" spans="1:8">
      <c r="A120" s="85"/>
      <c r="B120" s="87"/>
      <c r="C120" s="87"/>
      <c r="D120" s="87"/>
      <c r="E120" s="87"/>
      <c r="F120" s="85"/>
      <c r="G120" s="146"/>
      <c r="H120" s="147"/>
    </row>
    <row r="121" spans="1:8">
      <c r="A121" s="83" t="str">
        <f>A3</f>
        <v xml:space="preserve">PROJECT TITLE:  </v>
      </c>
      <c r="B121" s="87" t="str">
        <f>IF($B$3="","",$B$3)</f>
        <v>X</v>
      </c>
      <c r="C121" s="83"/>
      <c r="D121" s="83"/>
      <c r="E121" s="83"/>
      <c r="F121" s="83"/>
      <c r="G121" s="83"/>
      <c r="H121" s="83"/>
    </row>
    <row r="122" spans="1:8">
      <c r="A122" s="84" t="str">
        <f>((A$117)&amp;" (from page 2)")</f>
        <v>CONSTRUCTION &amp; REMODELING COST SUBTOTAL (from page 2)</v>
      </c>
      <c r="B122" s="83"/>
      <c r="C122" s="83"/>
      <c r="D122" s="87"/>
      <c r="E122" s="87"/>
      <c r="F122" s="87"/>
      <c r="G122" s="100"/>
      <c r="H122" s="112">
        <f>($H$117)</f>
        <v>0</v>
      </c>
    </row>
    <row r="123" spans="1:8" ht="13" thickBot="1">
      <c r="A123" s="84"/>
      <c r="B123" s="83"/>
      <c r="C123" s="83"/>
      <c r="D123" s="87"/>
      <c r="E123" s="87"/>
      <c r="F123" s="87"/>
      <c r="G123" s="146"/>
      <c r="H123" s="93"/>
    </row>
    <row r="124" spans="1:8" ht="13" thickBot="1">
      <c r="A124" s="287" t="s">
        <v>57</v>
      </c>
      <c r="B124" s="167"/>
      <c r="C124" s="167"/>
      <c r="D124" s="260"/>
      <c r="E124" s="260"/>
      <c r="F124" s="167"/>
      <c r="G124" s="341"/>
      <c r="H124" s="88">
        <f>ROUND(($E$135),-3)</f>
        <v>0</v>
      </c>
    </row>
    <row r="125" spans="1:8">
      <c r="A125" s="150" t="s">
        <v>246</v>
      </c>
      <c r="B125" s="83"/>
      <c r="C125" s="201"/>
      <c r="D125" s="87"/>
      <c r="E125" s="107">
        <f>($H$61)</f>
        <v>0</v>
      </c>
      <c r="F125" s="83"/>
      <c r="G125" s="100"/>
      <c r="H125" s="93"/>
    </row>
    <row r="126" spans="1:8">
      <c r="A126" s="150" t="s">
        <v>247</v>
      </c>
      <c r="B126" s="83"/>
      <c r="C126" s="201"/>
      <c r="D126" s="87"/>
      <c r="E126" s="107">
        <f>($H$67)</f>
        <v>0</v>
      </c>
      <c r="F126" s="83"/>
      <c r="G126" s="100"/>
      <c r="H126" s="93"/>
    </row>
    <row r="127" spans="1:8">
      <c r="A127" s="150" t="s">
        <v>248</v>
      </c>
      <c r="B127" s="83"/>
      <c r="C127" s="201"/>
      <c r="D127" s="87"/>
      <c r="E127" s="107">
        <f>($H$104)</f>
        <v>0</v>
      </c>
      <c r="F127" s="83"/>
      <c r="G127" s="100"/>
      <c r="H127" s="93"/>
    </row>
    <row r="128" spans="1:8">
      <c r="A128" s="150" t="s">
        <v>249</v>
      </c>
      <c r="B128" s="83"/>
      <c r="C128" s="201"/>
      <c r="D128" s="87"/>
      <c r="E128" s="152">
        <f>($H$113)</f>
        <v>0</v>
      </c>
      <c r="F128" s="83"/>
      <c r="G128" s="100"/>
      <c r="H128" s="93"/>
    </row>
    <row r="129" spans="1:8">
      <c r="A129" s="150" t="s">
        <v>250</v>
      </c>
      <c r="B129" s="83"/>
      <c r="C129" s="201"/>
      <c r="D129" s="87"/>
      <c r="E129" s="107">
        <f>($H$117)</f>
        <v>0</v>
      </c>
      <c r="F129" s="83"/>
      <c r="G129" s="100"/>
      <c r="H129" s="93"/>
    </row>
    <row r="130" spans="1:8">
      <c r="A130" s="150" t="s">
        <v>77</v>
      </c>
      <c r="B130" s="83"/>
      <c r="C130" s="321">
        <f>(PBW!C130)</f>
        <v>0</v>
      </c>
      <c r="D130" s="107">
        <f>($H$122)</f>
        <v>0</v>
      </c>
      <c r="E130" s="107">
        <f>ROUND(($C130*$D$130),-2)</f>
        <v>0</v>
      </c>
      <c r="F130" s="83"/>
      <c r="G130" s="100"/>
      <c r="H130" s="93"/>
    </row>
    <row r="131" spans="1:8">
      <c r="A131" s="150" t="s">
        <v>277</v>
      </c>
      <c r="B131" s="83"/>
      <c r="C131" s="322">
        <f>(PBW!C131)</f>
        <v>0</v>
      </c>
      <c r="D131" s="107">
        <f>($H$122)</f>
        <v>0</v>
      </c>
      <c r="E131" s="107">
        <f>ROUND(($C131*$D$131),-2)</f>
        <v>0</v>
      </c>
      <c r="F131" s="83"/>
      <c r="G131" s="100"/>
      <c r="H131" s="93"/>
    </row>
    <row r="132" spans="1:8">
      <c r="A132" s="150" t="s">
        <v>78</v>
      </c>
      <c r="B132" s="83"/>
      <c r="C132" s="321">
        <f>(PBW!C132)</f>
        <v>0</v>
      </c>
      <c r="D132" s="107">
        <f>($H$122)</f>
        <v>0</v>
      </c>
      <c r="E132" s="107">
        <f>ROUND(($C132*$D$132),-2)</f>
        <v>0</v>
      </c>
      <c r="F132" s="83"/>
      <c r="G132" s="100"/>
      <c r="H132" s="93"/>
    </row>
    <row r="133" spans="1:8">
      <c r="A133" s="150" t="s">
        <v>251</v>
      </c>
      <c r="B133" s="83"/>
      <c r="C133" s="201"/>
      <c r="D133" s="87"/>
      <c r="E133" s="152">
        <f>($H$119)</f>
        <v>0</v>
      </c>
      <c r="F133" s="83"/>
      <c r="G133" s="100"/>
      <c r="H133" s="93"/>
    </row>
    <row r="134" spans="1:8">
      <c r="A134" s="150" t="s">
        <v>252</v>
      </c>
      <c r="B134" s="83"/>
      <c r="C134" s="201"/>
      <c r="D134" s="87"/>
      <c r="E134" s="107">
        <f>SUM(E$129:E$133)</f>
        <v>0</v>
      </c>
      <c r="F134" s="83"/>
      <c r="G134" s="97" t="s">
        <v>320</v>
      </c>
      <c r="H134" s="93"/>
    </row>
    <row r="135" spans="1:8">
      <c r="A135" s="348" t="s">
        <v>272</v>
      </c>
      <c r="B135" s="149"/>
      <c r="C135" s="349">
        <f>IF($G$135="NO INFLATION",1,IF($G$135="2025-27 CBR",ENR!$L$7,(ENR_ALTERNATE)))</f>
        <v>1</v>
      </c>
      <c r="D135" s="110">
        <f>($E$134)</f>
        <v>0</v>
      </c>
      <c r="E135" s="110">
        <f>ROUND(($D$135*$C$135),-2)</f>
        <v>0</v>
      </c>
      <c r="F135" s="83"/>
      <c r="G135" s="317" t="s">
        <v>318</v>
      </c>
      <c r="H135" s="93"/>
    </row>
    <row r="136" spans="1:8">
      <c r="A136" s="150"/>
      <c r="B136" s="83"/>
      <c r="C136" s="311" t="str">
        <f>(PBW!C134)</f>
        <v>Escalation Factor</v>
      </c>
      <c r="D136" s="107"/>
      <c r="E136" s="107"/>
      <c r="F136" s="83"/>
      <c r="G136" s="97" t="str">
        <f>(PBW!G136)</f>
        <v>Construction Cost Threshold</v>
      </c>
      <c r="H136" s="93"/>
    </row>
    <row r="137" spans="1:8">
      <c r="A137" s="150" t="s">
        <v>302</v>
      </c>
      <c r="B137" s="83"/>
      <c r="C137" s="319">
        <f>(PBW!C137)</f>
        <v>0.01</v>
      </c>
      <c r="D137" s="189">
        <f>($E$135)</f>
        <v>0</v>
      </c>
      <c r="E137" s="107">
        <f>IF($D$137&gt;$G$137,ROUND(($D$137*$C$137),-2),0)</f>
        <v>0</v>
      </c>
      <c r="F137" s="83"/>
      <c r="G137" s="320">
        <f>(PBW!G137)</f>
        <v>21250000</v>
      </c>
      <c r="H137" s="93"/>
    </row>
    <row r="138" spans="1:8" ht="13" thickBot="1">
      <c r="A138" s="84"/>
      <c r="B138" s="83"/>
      <c r="C138" s="83"/>
      <c r="D138" s="87"/>
      <c r="E138" s="87"/>
      <c r="F138" s="83"/>
      <c r="G138" s="100"/>
      <c r="H138" s="93"/>
    </row>
    <row r="139" spans="1:8" ht="13" thickBot="1">
      <c r="A139" s="287" t="s">
        <v>54</v>
      </c>
      <c r="B139" s="167"/>
      <c r="C139" s="167"/>
      <c r="D139" s="169"/>
      <c r="E139" s="169"/>
      <c r="F139" s="288"/>
      <c r="G139" s="342" t="str">
        <f>IF($H$139=0,"",($H$139/TOTCONST_ALTERNATE))</f>
        <v/>
      </c>
      <c r="H139" s="88">
        <f>ROUND(SUM($E$142:$E$144),-3)</f>
        <v>0</v>
      </c>
    </row>
    <row r="140" spans="1:8">
      <c r="A140" s="150" t="s">
        <v>377</v>
      </c>
      <c r="B140" s="83"/>
      <c r="C140" s="407">
        <f>(PBW!C140)</f>
        <v>0</v>
      </c>
      <c r="D140" s="93"/>
      <c r="E140" s="93"/>
      <c r="F140" s="84"/>
      <c r="G140" s="394"/>
      <c r="H140" s="165"/>
    </row>
    <row r="141" spans="1:8">
      <c r="A141" s="150" t="s">
        <v>378</v>
      </c>
      <c r="B141" s="83"/>
      <c r="C141" s="407">
        <f>(PBW!C141)</f>
        <v>0</v>
      </c>
      <c r="D141" s="93"/>
      <c r="E141" s="93"/>
      <c r="F141" s="84"/>
      <c r="G141" s="394"/>
      <c r="H141" s="165"/>
    </row>
    <row r="142" spans="1:8">
      <c r="A142" s="150" t="s">
        <v>253</v>
      </c>
      <c r="B142" s="83"/>
      <c r="C142" s="321">
        <f>(PBW!C142)</f>
        <v>0</v>
      </c>
      <c r="D142" s="93">
        <f>($H$124)</f>
        <v>0</v>
      </c>
      <c r="E142" s="107">
        <f>IF($E$143&gt;0,0,((ROUND(($C142*$D$142),-2))))</f>
        <v>0</v>
      </c>
      <c r="F142" s="84"/>
      <c r="G142" s="83"/>
      <c r="H142" s="93"/>
    </row>
    <row r="143" spans="1:8">
      <c r="A143" s="150" t="s">
        <v>254</v>
      </c>
      <c r="B143" s="83"/>
      <c r="C143" s="155" t="str">
        <f>IF($E$143=0,"",($E$143/TOTCONST_ALTERNATE))</f>
        <v/>
      </c>
      <c r="D143" s="93"/>
      <c r="E143" s="289">
        <f>(PBW!E143)</f>
        <v>0</v>
      </c>
      <c r="F143" s="84"/>
      <c r="G143" s="83"/>
      <c r="H143" s="93"/>
    </row>
    <row r="144" spans="1:8">
      <c r="A144" s="150" t="s">
        <v>255</v>
      </c>
      <c r="B144" s="83"/>
      <c r="C144" s="321">
        <f>(PBW!C144)</f>
        <v>0</v>
      </c>
      <c r="D144" s="93">
        <f>($E$142+$E$143)</f>
        <v>0</v>
      </c>
      <c r="E144" s="107">
        <f>ROUND($C144*D$144,-2)</f>
        <v>0</v>
      </c>
      <c r="F144" s="83"/>
      <c r="G144" s="83"/>
      <c r="H144" s="93"/>
    </row>
    <row r="145" spans="1:8" ht="13" thickBot="1">
      <c r="A145" s="84"/>
      <c r="B145" s="83"/>
      <c r="C145" s="201"/>
      <c r="D145" s="93"/>
      <c r="E145" s="93"/>
      <c r="F145" s="83"/>
      <c r="G145" s="83"/>
      <c r="H145" s="93"/>
    </row>
    <row r="146" spans="1:8" ht="13" thickBot="1">
      <c r="A146" s="287" t="s">
        <v>55</v>
      </c>
      <c r="B146" s="167"/>
      <c r="C146" s="290"/>
      <c r="D146" s="169"/>
      <c r="E146" s="169"/>
      <c r="F146" s="167"/>
      <c r="G146" s="342" t="str">
        <f>IF($H$146=0,"",($H$146/TOTCONST_ALTERNATE))</f>
        <v/>
      </c>
      <c r="H146" s="88">
        <f>ROUND(SUM($E$147:$E$157),-3)</f>
        <v>0</v>
      </c>
    </row>
    <row r="147" spans="1:8">
      <c r="A147" s="150" t="s">
        <v>256</v>
      </c>
      <c r="B147" s="83"/>
      <c r="C147" s="321">
        <f>(PBW!C147)</f>
        <v>0</v>
      </c>
      <c r="D147" s="93">
        <f>($H$124)</f>
        <v>0</v>
      </c>
      <c r="E147" s="107">
        <f>ROUND(($C147*$D$147),-2)</f>
        <v>0</v>
      </c>
      <c r="F147" s="84"/>
      <c r="G147" s="83"/>
      <c r="H147" s="93"/>
    </row>
    <row r="148" spans="1:8">
      <c r="A148" s="150" t="s">
        <v>274</v>
      </c>
      <c r="B148" s="83"/>
      <c r="C148" s="201"/>
      <c r="D148" s="93"/>
      <c r="E148" s="289">
        <f>(PBW!E148)</f>
        <v>0</v>
      </c>
      <c r="F148" s="83"/>
      <c r="G148" s="83"/>
      <c r="H148" s="93"/>
    </row>
    <row r="149" spans="1:8">
      <c r="A149" s="150" t="s">
        <v>257</v>
      </c>
      <c r="B149" s="83"/>
      <c r="C149" s="323">
        <f>(PBW!C149)</f>
        <v>0</v>
      </c>
      <c r="D149" s="93">
        <f>($H$124)</f>
        <v>0</v>
      </c>
      <c r="E149" s="107">
        <f>ROUND(($C$149*$D$149),-2)</f>
        <v>0</v>
      </c>
      <c r="F149" s="83"/>
      <c r="G149" s="83"/>
      <c r="H149" s="93"/>
    </row>
    <row r="150" spans="1:8">
      <c r="A150" s="150" t="s">
        <v>258</v>
      </c>
      <c r="B150" s="83"/>
      <c r="C150" s="91"/>
      <c r="D150" s="93"/>
      <c r="E150" s="291">
        <f>(PBW!E150)</f>
        <v>0</v>
      </c>
      <c r="F150" s="83"/>
      <c r="G150" s="83"/>
      <c r="H150" s="93"/>
    </row>
    <row r="151" spans="1:8">
      <c r="A151" s="150" t="s">
        <v>259</v>
      </c>
      <c r="B151" s="83"/>
      <c r="C151" s="201"/>
      <c r="D151" s="93"/>
      <c r="E151" s="292">
        <f>(PBW!E151)</f>
        <v>0</v>
      </c>
      <c r="F151" s="83"/>
      <c r="G151" s="83"/>
      <c r="H151" s="93"/>
    </row>
    <row r="152" spans="1:8">
      <c r="A152" s="150" t="s">
        <v>260</v>
      </c>
      <c r="B152" s="83"/>
      <c r="C152" s="201"/>
      <c r="D152" s="93"/>
      <c r="E152" s="292">
        <f>(PBW!E152)</f>
        <v>0</v>
      </c>
      <c r="F152" s="83"/>
      <c r="G152" s="83"/>
      <c r="H152" s="93"/>
    </row>
    <row r="153" spans="1:8">
      <c r="A153" s="542" t="str">
        <f>(PBW!A153)</f>
        <v>Specify Additional Design Service A</v>
      </c>
      <c r="B153" s="542">
        <f>(PBW!B153)</f>
        <v>0</v>
      </c>
      <c r="C153" s="542">
        <f>(PBW!C153)</f>
        <v>0</v>
      </c>
      <c r="D153" s="93"/>
      <c r="E153" s="292">
        <f>(PBW!E153)</f>
        <v>0</v>
      </c>
      <c r="F153" s="83"/>
      <c r="G153" s="83"/>
      <c r="H153" s="93"/>
    </row>
    <row r="154" spans="1:8">
      <c r="A154" s="542" t="str">
        <f>(PBW!A154)</f>
        <v>Specify Additional Design Service B</v>
      </c>
      <c r="B154" s="542">
        <f>(PBW!B154)</f>
        <v>0</v>
      </c>
      <c r="C154" s="542">
        <f>(PBW!C154)</f>
        <v>0</v>
      </c>
      <c r="D154" s="93"/>
      <c r="E154" s="292">
        <f>(PBW!E154)</f>
        <v>0</v>
      </c>
      <c r="F154" s="83"/>
      <c r="G154" s="83"/>
      <c r="H154" s="93"/>
    </row>
    <row r="155" spans="1:8">
      <c r="A155" s="542" t="str">
        <f>(PBW!A155)</f>
        <v>Specify Additional Design Service C</v>
      </c>
      <c r="B155" s="542">
        <f>(PBW!B155)</f>
        <v>0</v>
      </c>
      <c r="C155" s="542">
        <f>(PBW!C155)</f>
        <v>0</v>
      </c>
      <c r="D155" s="93"/>
      <c r="E155" s="292">
        <f>(PBW!E155)</f>
        <v>0</v>
      </c>
      <c r="F155" s="83"/>
      <c r="G155" s="83"/>
      <c r="H155" s="93"/>
    </row>
    <row r="156" spans="1:8">
      <c r="A156" s="542" t="str">
        <f>(PBW!A156)</f>
        <v>Specify Additional Design Service D</v>
      </c>
      <c r="B156" s="542">
        <f>(PBW!B156)</f>
        <v>0</v>
      </c>
      <c r="C156" s="542">
        <f>(PBW!C156)</f>
        <v>0</v>
      </c>
      <c r="D156" s="93"/>
      <c r="E156" s="293">
        <f>(PBW!E156)</f>
        <v>0</v>
      </c>
      <c r="F156" s="83"/>
      <c r="G156" s="83"/>
      <c r="H156" s="93"/>
    </row>
    <row r="157" spans="1:8">
      <c r="A157" s="150" t="s">
        <v>261</v>
      </c>
      <c r="B157" s="83"/>
      <c r="C157" s="323">
        <f>(PBW!C157)</f>
        <v>0</v>
      </c>
      <c r="D157" s="107">
        <f>($G$158)</f>
        <v>0</v>
      </c>
      <c r="E157" s="107">
        <f>ROUND(($C$157*$D$157),-2)</f>
        <v>0</v>
      </c>
      <c r="F157" s="83"/>
      <c r="G157" s="83"/>
      <c r="H157" s="93"/>
    </row>
    <row r="158" spans="1:8">
      <c r="A158" s="166" t="s">
        <v>273</v>
      </c>
      <c r="B158" s="167"/>
      <c r="C158" s="221"/>
      <c r="D158" s="244"/>
      <c r="E158" s="107"/>
      <c r="F158" s="318" t="s">
        <v>84</v>
      </c>
      <c r="G158" s="161">
        <f>ROUND(SUM($E$159:$E$164),-2)</f>
        <v>0</v>
      </c>
      <c r="H158" s="93"/>
    </row>
    <row r="159" spans="1:8">
      <c r="A159" s="150" t="s">
        <v>262</v>
      </c>
      <c r="B159" s="150"/>
      <c r="C159" s="150"/>
      <c r="D159" s="93"/>
      <c r="E159" s="291">
        <f>(PBW!E159)</f>
        <v>0</v>
      </c>
      <c r="F159" s="83"/>
      <c r="G159" s="83"/>
      <c r="H159" s="93"/>
    </row>
    <row r="160" spans="1:8">
      <c r="A160" s="150" t="s">
        <v>263</v>
      </c>
      <c r="B160" s="150"/>
      <c r="C160" s="150"/>
      <c r="D160" s="93"/>
      <c r="E160" s="292">
        <f>(PBW!E160)</f>
        <v>0</v>
      </c>
      <c r="F160" s="83"/>
      <c r="G160" s="83"/>
      <c r="H160" s="93"/>
    </row>
    <row r="161" spans="1:8">
      <c r="A161" s="542" t="str">
        <f>(PBW!A161)</f>
        <v>Specify FF&amp;E (OFCI) Title(s), Type(s), and Budget Estimate Lump Sum A</v>
      </c>
      <c r="B161" s="542">
        <f>(PBW!B161)</f>
        <v>0</v>
      </c>
      <c r="C161" s="542">
        <f>(PBW!C161)</f>
        <v>0</v>
      </c>
      <c r="D161" s="93"/>
      <c r="E161" s="292">
        <f>(PBW!E161)</f>
        <v>0</v>
      </c>
      <c r="F161" s="83"/>
      <c r="G161" s="83"/>
      <c r="H161" s="93"/>
    </row>
    <row r="162" spans="1:8">
      <c r="A162" s="542" t="str">
        <f>(PBW!A162)</f>
        <v>Specify FF&amp;E (OFCI) Title(s), Type(s), and Budget Estimate Lump Sum B</v>
      </c>
      <c r="B162" s="542">
        <f>(PBW!B162)</f>
        <v>0</v>
      </c>
      <c r="C162" s="542">
        <f>(PBW!C162)</f>
        <v>0</v>
      </c>
      <c r="D162" s="93"/>
      <c r="E162" s="292">
        <f>(PBW!E162)</f>
        <v>0</v>
      </c>
      <c r="F162" s="83"/>
      <c r="G162" s="83"/>
      <c r="H162" s="93"/>
    </row>
    <row r="163" spans="1:8">
      <c r="A163" s="542" t="str">
        <f>(PBW!A163)</f>
        <v>Specify FF&amp;E (OFCI) Title(s), Type(s), and Budget Estimate Lump Sum C</v>
      </c>
      <c r="B163" s="542">
        <f>(PBW!B163)</f>
        <v>0</v>
      </c>
      <c r="C163" s="542">
        <f>(PBW!C163)</f>
        <v>0</v>
      </c>
      <c r="D163" s="93"/>
      <c r="E163" s="292">
        <f>(PBW!E163)</f>
        <v>0</v>
      </c>
      <c r="F163" s="83"/>
      <c r="G163" s="83"/>
      <c r="H163" s="93"/>
    </row>
    <row r="164" spans="1:8">
      <c r="A164" s="542" t="str">
        <f>(PBW!A164)</f>
        <v>Specify FF&amp;E (OFCI) Title(s), Type(s), and Budget Estimate Lump Sum D</v>
      </c>
      <c r="B164" s="542">
        <f>(PBW!B164)</f>
        <v>0</v>
      </c>
      <c r="C164" s="542">
        <f>(PBW!C164)</f>
        <v>0</v>
      </c>
      <c r="D164" s="93"/>
      <c r="E164" s="293">
        <f>(PBW!E164)</f>
        <v>0</v>
      </c>
      <c r="F164" s="83"/>
      <c r="G164" s="83"/>
      <c r="H164" s="93"/>
    </row>
    <row r="165" spans="1:8" ht="13" thickBot="1">
      <c r="A165" s="84"/>
      <c r="B165" s="83"/>
      <c r="C165" s="201"/>
      <c r="D165" s="93"/>
      <c r="E165" s="83"/>
      <c r="F165" s="83"/>
      <c r="G165" s="83"/>
      <c r="H165" s="93"/>
    </row>
    <row r="166" spans="1:8" ht="13" thickBot="1">
      <c r="A166" s="287" t="s">
        <v>56</v>
      </c>
      <c r="B166" s="167"/>
      <c r="C166" s="324">
        <f>(PBW!C166)</f>
        <v>0</v>
      </c>
      <c r="D166" s="244">
        <f>($H$124)</f>
        <v>0</v>
      </c>
      <c r="E166" s="244">
        <f>ROUND($C166*$D166,-2)</f>
        <v>0</v>
      </c>
      <c r="F166" s="288"/>
      <c r="G166" s="341"/>
      <c r="H166" s="88">
        <f>ROUND(VALUE($E$166),-3)</f>
        <v>0</v>
      </c>
    </row>
    <row r="167" spans="1:8" ht="13" thickBot="1">
      <c r="A167" s="84"/>
      <c r="B167" s="83"/>
      <c r="C167" s="201"/>
      <c r="D167" s="93"/>
      <c r="E167" s="83"/>
      <c r="F167" s="83"/>
      <c r="G167" s="83"/>
      <c r="H167" s="93"/>
    </row>
    <row r="168" spans="1:8" ht="13" thickBot="1">
      <c r="A168" s="287" t="s">
        <v>75</v>
      </c>
      <c r="B168" s="167"/>
      <c r="C168" s="321">
        <f>(PBW!C168)</f>
        <v>0</v>
      </c>
      <c r="D168" s="244">
        <f>SUM($H$124+$H$166)</f>
        <v>0</v>
      </c>
      <c r="E168" s="244">
        <f>ROUND($C168*$D168,-2)</f>
        <v>0</v>
      </c>
      <c r="F168" s="288"/>
      <c r="G168" s="341"/>
      <c r="H168" s="88">
        <f>ROUND(VALUE($E$168),-3)</f>
        <v>0</v>
      </c>
    </row>
    <row r="169" spans="1:8" ht="13" thickBot="1">
      <c r="A169" s="83"/>
      <c r="B169" s="83"/>
      <c r="C169" s="163"/>
      <c r="D169" s="93"/>
      <c r="E169" s="93"/>
      <c r="F169" s="83"/>
      <c r="G169" s="83"/>
      <c r="H169" s="93"/>
    </row>
    <row r="170" spans="1:8" ht="13" thickBot="1">
      <c r="A170" s="287" t="s">
        <v>79</v>
      </c>
      <c r="B170" s="167"/>
      <c r="C170" s="168"/>
      <c r="D170" s="169"/>
      <c r="E170" s="169"/>
      <c r="F170" s="288"/>
      <c r="G170" s="343" t="str">
        <f>IF($H$170=0,"",($H$170/TOTCONST_ALTERNATE))</f>
        <v/>
      </c>
      <c r="H170" s="88">
        <f>ROUND(SUM($E$171:$E$178),-3)</f>
        <v>0</v>
      </c>
    </row>
    <row r="171" spans="1:8">
      <c r="A171" s="150" t="s">
        <v>264</v>
      </c>
      <c r="B171" s="83"/>
      <c r="C171" s="163"/>
      <c r="D171" s="93"/>
      <c r="E171" s="107">
        <f>ROUND(SUM($E$159:$E$164),-2)</f>
        <v>0</v>
      </c>
      <c r="F171" s="84"/>
      <c r="G171" s="83"/>
      <c r="H171" s="165"/>
    </row>
    <row r="172" spans="1:8">
      <c r="A172" s="166" t="s">
        <v>82</v>
      </c>
      <c r="B172" s="167"/>
      <c r="C172" s="168"/>
      <c r="D172" s="169"/>
      <c r="E172" s="93"/>
      <c r="F172" s="318" t="s">
        <v>85</v>
      </c>
      <c r="G172" s="161">
        <f>ROUND(SUM($E$173:$E$178),-2)</f>
        <v>0</v>
      </c>
      <c r="H172" s="165"/>
    </row>
    <row r="173" spans="1:8">
      <c r="A173" s="150" t="s">
        <v>275</v>
      </c>
      <c r="B173" s="83"/>
      <c r="C173" s="321">
        <f>(PBW!C173)</f>
        <v>0</v>
      </c>
      <c r="D173" s="107">
        <f>($H$124)</f>
        <v>0</v>
      </c>
      <c r="E173" s="107">
        <f>ROUND($C173*$D173,-2)</f>
        <v>0</v>
      </c>
      <c r="F173" s="294"/>
      <c r="G173" s="83"/>
      <c r="H173" s="93"/>
    </row>
    <row r="174" spans="1:8">
      <c r="A174" s="150" t="s">
        <v>262</v>
      </c>
      <c r="B174" s="83"/>
      <c r="C174" s="83"/>
      <c r="D174" s="93"/>
      <c r="E174" s="291">
        <f>(PBW!E174)</f>
        <v>0</v>
      </c>
      <c r="F174" s="294"/>
      <c r="G174" s="83"/>
      <c r="H174" s="93"/>
    </row>
    <row r="175" spans="1:8">
      <c r="A175" s="150" t="s">
        <v>263</v>
      </c>
      <c r="B175" s="83"/>
      <c r="C175" s="83"/>
      <c r="D175" s="93"/>
      <c r="E175" s="292">
        <f>(PBW!E175)</f>
        <v>0</v>
      </c>
      <c r="F175" s="294"/>
      <c r="G175" s="83"/>
      <c r="H175" s="93"/>
    </row>
    <row r="176" spans="1:8">
      <c r="A176" s="542" t="str">
        <f>(PBW!A176)</f>
        <v>Specify FF&amp;E (OFOI) Title(s), Type(s), and Budget Estimate Lump Sum A</v>
      </c>
      <c r="B176" s="542">
        <f>(PBW!B176)</f>
        <v>0</v>
      </c>
      <c r="C176" s="542">
        <f>(PBW!C176)</f>
        <v>0</v>
      </c>
      <c r="D176" s="93"/>
      <c r="E176" s="292">
        <f>(PBW!E176)</f>
        <v>0</v>
      </c>
      <c r="F176" s="294"/>
      <c r="G176" s="83"/>
      <c r="H176" s="93"/>
    </row>
    <row r="177" spans="1:8">
      <c r="A177" s="542" t="str">
        <f>(PBW!A177)</f>
        <v>Specify FF&amp;E (OFOI) Title(s), Type(s), and Budget Estimate Lump Sum B</v>
      </c>
      <c r="B177" s="542">
        <f>(PBW!B177)</f>
        <v>0</v>
      </c>
      <c r="C177" s="542">
        <f>(PBW!C177)</f>
        <v>0</v>
      </c>
      <c r="D177" s="93"/>
      <c r="E177" s="292">
        <f>(PBW!E177)</f>
        <v>0</v>
      </c>
      <c r="F177" s="294"/>
      <c r="G177" s="83"/>
      <c r="H177" s="93"/>
    </row>
    <row r="178" spans="1:8">
      <c r="A178" s="542" t="str">
        <f>(PBW!A178)</f>
        <v>Specify FF&amp;E (OFOI) Title(s), Type(s), and Budget Estimate Lump Sum C</v>
      </c>
      <c r="B178" s="542">
        <f>(PBW!B178)</f>
        <v>0</v>
      </c>
      <c r="C178" s="542">
        <f>(PBW!C178)</f>
        <v>0</v>
      </c>
      <c r="D178" s="93"/>
      <c r="E178" s="293">
        <f>(PBW!E178)</f>
        <v>0</v>
      </c>
      <c r="F178" s="294"/>
      <c r="G178" s="83"/>
      <c r="H178" s="93"/>
    </row>
    <row r="179" spans="1:8" ht="13" thickBot="1">
      <c r="A179" s="83"/>
      <c r="B179" s="83"/>
      <c r="C179" s="83"/>
      <c r="D179" s="83"/>
      <c r="E179" s="83"/>
      <c r="F179" s="83"/>
      <c r="G179" s="83"/>
      <c r="H179" s="93"/>
    </row>
    <row r="180" spans="1:8" ht="13" thickBot="1">
      <c r="A180" s="219" t="s">
        <v>33</v>
      </c>
      <c r="B180" s="260"/>
      <c r="C180" s="260"/>
      <c r="D180" s="260"/>
      <c r="E180" s="260"/>
      <c r="F180" s="219"/>
      <c r="G180" s="341"/>
      <c r="H180" s="88">
        <f>ROUND(SUM($H$124,$H$139,$H$146,$H$166,$H$168,$H$170),-3)</f>
        <v>0</v>
      </c>
    </row>
    <row r="181" spans="1:8" ht="5.75" customHeight="1">
      <c r="A181" s="87"/>
      <c r="B181" s="87"/>
      <c r="C181" s="87"/>
      <c r="D181" s="87"/>
      <c r="E181" s="87"/>
      <c r="F181" s="87"/>
      <c r="G181" s="87"/>
      <c r="H181" s="83"/>
    </row>
    <row r="182" spans="1:8">
      <c r="A182" s="83"/>
      <c r="B182" s="83"/>
      <c r="C182" s="107">
        <f>IF(ISERR(ROUND($H$122/($B$9+$B$13),0)),0,ROUND($H$122/($B$9+$B$13),0))</f>
        <v>0</v>
      </c>
      <c r="D182" s="174" t="s">
        <v>41</v>
      </c>
      <c r="E182" s="83"/>
      <c r="F182" s="83"/>
      <c r="G182" s="83"/>
      <c r="H182" s="83"/>
    </row>
    <row r="183" spans="1:8">
      <c r="A183" s="83"/>
      <c r="B183" s="83"/>
      <c r="C183" s="107">
        <f>IF(ISERR(ROUND($H$122/($B$10+$B$13),0)),0,ROUND($H$122/($B$10+$B$13),0))</f>
        <v>0</v>
      </c>
      <c r="D183" s="174" t="s">
        <v>42</v>
      </c>
      <c r="E183" s="83"/>
      <c r="F183" s="83"/>
      <c r="G183" s="83"/>
      <c r="H183" s="83"/>
    </row>
    <row r="184" spans="1:8">
      <c r="A184" s="83"/>
      <c r="B184" s="83"/>
      <c r="C184" s="107">
        <f>IF(ISERR(ROUND($H$180/($B$9+$B$13),0)),0,ROUND($H$180/($B$9+$B$13),0))</f>
        <v>0</v>
      </c>
      <c r="D184" s="174" t="s">
        <v>40</v>
      </c>
      <c r="E184" s="83"/>
      <c r="F184" s="83"/>
      <c r="G184" s="83"/>
      <c r="H184" s="83"/>
    </row>
    <row r="185" spans="1:8">
      <c r="A185" s="83"/>
      <c r="B185" s="83"/>
      <c r="C185" s="107">
        <f>IF(ISERR(ROUND($H$180/($B$10+$B$13),0)),0,ROUND($H$180/($B$10+$B$13),0))</f>
        <v>0</v>
      </c>
      <c r="D185" s="174" t="s">
        <v>39</v>
      </c>
      <c r="E185" s="83"/>
      <c r="F185" s="83"/>
      <c r="G185" s="83"/>
      <c r="H185" s="83"/>
    </row>
    <row r="186" spans="1:8" ht="5.75" customHeight="1">
      <c r="A186" s="83"/>
      <c r="B186" s="83"/>
      <c r="C186" s="107"/>
      <c r="D186" s="174"/>
      <c r="E186" s="83"/>
      <c r="F186" s="83"/>
      <c r="G186" s="83"/>
      <c r="H186" s="83"/>
    </row>
    <row r="187" spans="1:8">
      <c r="A187" s="219" t="s">
        <v>34</v>
      </c>
      <c r="B187" s="167"/>
      <c r="C187" s="167"/>
      <c r="D187" s="167"/>
      <c r="E187" s="167"/>
      <c r="F187" s="167"/>
      <c r="G187" s="167"/>
      <c r="H187" s="83"/>
    </row>
    <row r="188" spans="1:8">
      <c r="A188" s="295" t="str">
        <f>IF(ISBLANK(PBW!A188),"",PBW!A188)</f>
        <v>X</v>
      </c>
      <c r="B188" s="83"/>
      <c r="C188" s="83"/>
      <c r="D188" s="83"/>
      <c r="E188" s="83"/>
      <c r="F188" s="83"/>
      <c r="G188" s="83"/>
      <c r="H188" s="83"/>
    </row>
    <row r="189" spans="1:8">
      <c r="A189" s="295" t="str">
        <f>IF(ISBLANK(PBW!A189),"",PBW!A189)</f>
        <v>X</v>
      </c>
      <c r="B189" s="83"/>
      <c r="C189" s="83"/>
      <c r="D189" s="83"/>
      <c r="E189" s="83"/>
      <c r="F189" s="83"/>
      <c r="G189" s="83"/>
      <c r="H189" s="83"/>
    </row>
    <row r="190" spans="1:8">
      <c r="A190" s="295" t="str">
        <f>IF(ISBLANK(PBW!A190),"",PBW!A190)</f>
        <v>X</v>
      </c>
      <c r="B190" s="83"/>
      <c r="C190" s="83"/>
      <c r="D190" s="83"/>
      <c r="E190" s="83"/>
      <c r="F190" s="83"/>
      <c r="G190" s="83"/>
      <c r="H190" s="83"/>
    </row>
    <row r="191" spans="1:8">
      <c r="A191" s="295" t="str">
        <f>IF(ISBLANK(PBW!A191),"",PBW!A191)</f>
        <v>X</v>
      </c>
      <c r="B191" s="83"/>
      <c r="C191" s="83"/>
      <c r="D191" s="83"/>
      <c r="E191" s="83"/>
      <c r="F191" s="83"/>
      <c r="G191" s="83"/>
      <c r="H191" s="83"/>
    </row>
    <row r="192" spans="1:8">
      <c r="A192" s="295" t="str">
        <f>IF(ISBLANK(PBW!A192),"",PBW!A192)</f>
        <v>X</v>
      </c>
      <c r="B192" s="83"/>
      <c r="C192" s="83"/>
      <c r="D192" s="83"/>
      <c r="E192" s="83"/>
      <c r="F192" s="83"/>
      <c r="G192" s="83"/>
      <c r="H192" s="83"/>
    </row>
  </sheetData>
  <sheetProtection algorithmName="SHA-512" hashValue="j8YkKm1i9rq9ZFEZZIYzQE8cdb6nSAkAplOemF5cmcMG+Kz1URAYDcd78lCdg/R58iXaZGzztyX/Fz2B8SS8XA==" saltValue="zXSKfhxvoLfNZkNY+859oA==" spinCount="100000" sheet="1" objects="1" scenarios="1"/>
  <mergeCells count="74">
    <mergeCell ref="B51:C51"/>
    <mergeCell ref="B3:E3"/>
    <mergeCell ref="B41:C41"/>
    <mergeCell ref="B42:C42"/>
    <mergeCell ref="B43:C43"/>
    <mergeCell ref="B44:C44"/>
    <mergeCell ref="B46:C46"/>
    <mergeCell ref="B47:C47"/>
    <mergeCell ref="B48:C48"/>
    <mergeCell ref="B49:C49"/>
    <mergeCell ref="C4:E8"/>
    <mergeCell ref="B73:D73"/>
    <mergeCell ref="B52:C52"/>
    <mergeCell ref="B53:C53"/>
    <mergeCell ref="B55:C55"/>
    <mergeCell ref="B56:C56"/>
    <mergeCell ref="B57:C57"/>
    <mergeCell ref="B66:D66"/>
    <mergeCell ref="B67:D67"/>
    <mergeCell ref="A69:G69"/>
    <mergeCell ref="B70:D70"/>
    <mergeCell ref="B71:D71"/>
    <mergeCell ref="B72:D72"/>
    <mergeCell ref="B85:D85"/>
    <mergeCell ref="B74:D74"/>
    <mergeCell ref="B75:D75"/>
    <mergeCell ref="B76:D76"/>
    <mergeCell ref="B77:D77"/>
    <mergeCell ref="B78:D78"/>
    <mergeCell ref="B79:D79"/>
    <mergeCell ref="B80:D80"/>
    <mergeCell ref="B81:D81"/>
    <mergeCell ref="B82:D82"/>
    <mergeCell ref="B83:D83"/>
    <mergeCell ref="B84:D84"/>
    <mergeCell ref="B97:D97"/>
    <mergeCell ref="B86:D86"/>
    <mergeCell ref="B87:D87"/>
    <mergeCell ref="B88:D88"/>
    <mergeCell ref="B89:D89"/>
    <mergeCell ref="B90:D90"/>
    <mergeCell ref="B91:D91"/>
    <mergeCell ref="B92:D92"/>
    <mergeCell ref="B93:D93"/>
    <mergeCell ref="B94:D94"/>
    <mergeCell ref="B95:D95"/>
    <mergeCell ref="B96:D96"/>
    <mergeCell ref="B98:D98"/>
    <mergeCell ref="B99:D99"/>
    <mergeCell ref="B100:D100"/>
    <mergeCell ref="B101:D101"/>
    <mergeCell ref="B102:D102"/>
    <mergeCell ref="B103:D103"/>
    <mergeCell ref="A104:G104"/>
    <mergeCell ref="B105:D105"/>
    <mergeCell ref="A106:G106"/>
    <mergeCell ref="B107:D107"/>
    <mergeCell ref="B108:D108"/>
    <mergeCell ref="B109:D109"/>
    <mergeCell ref="B110:D110"/>
    <mergeCell ref="B111:D111"/>
    <mergeCell ref="B112:D112"/>
    <mergeCell ref="A113:G113"/>
    <mergeCell ref="A153:C153"/>
    <mergeCell ref="A178:C178"/>
    <mergeCell ref="A156:C156"/>
    <mergeCell ref="A161:C161"/>
    <mergeCell ref="A163:C163"/>
    <mergeCell ref="A164:C164"/>
    <mergeCell ref="A176:C176"/>
    <mergeCell ref="A154:C154"/>
    <mergeCell ref="A155:C155"/>
    <mergeCell ref="A162:C162"/>
    <mergeCell ref="A177:C177"/>
  </mergeCells>
  <conditionalFormatting sqref="E41">
    <cfRule type="cellIs" dxfId="140" priority="41" operator="greaterThan">
      <formula>$F$41</formula>
    </cfRule>
    <cfRule type="cellIs" dxfId="139" priority="40" operator="lessThan">
      <formula>$F$41</formula>
    </cfRule>
  </conditionalFormatting>
  <conditionalFormatting sqref="E42">
    <cfRule type="cellIs" dxfId="138" priority="39" operator="greaterThan">
      <formula>$F$42</formula>
    </cfRule>
    <cfRule type="cellIs" dxfId="137" priority="38" operator="lessThan">
      <formula>$F$42</formula>
    </cfRule>
  </conditionalFormatting>
  <conditionalFormatting sqref="E43">
    <cfRule type="cellIs" dxfId="136" priority="37" operator="greaterThan">
      <formula>$F$43</formula>
    </cfRule>
    <cfRule type="cellIs" dxfId="135" priority="36" operator="lessThan">
      <formula>$F$43</formula>
    </cfRule>
  </conditionalFormatting>
  <conditionalFormatting sqref="E44">
    <cfRule type="cellIs" dxfId="134" priority="35" operator="greaterThan">
      <formula>$F$44</formula>
    </cfRule>
    <cfRule type="cellIs" dxfId="133" priority="34" operator="lessThan">
      <formula>$F$44</formula>
    </cfRule>
  </conditionalFormatting>
  <conditionalFormatting sqref="E46">
    <cfRule type="cellIs" dxfId="132" priority="32" operator="lessThan">
      <formula>$F$46</formula>
    </cfRule>
    <cfRule type="cellIs" dxfId="131" priority="33" operator="greaterThan">
      <formula>$F$46</formula>
    </cfRule>
  </conditionalFormatting>
  <conditionalFormatting sqref="E47">
    <cfRule type="cellIs" dxfId="130" priority="30" operator="lessThan">
      <formula>$F$47</formula>
    </cfRule>
    <cfRule type="cellIs" dxfId="129" priority="31" operator="greaterThan">
      <formula>$F$47</formula>
    </cfRule>
  </conditionalFormatting>
  <conditionalFormatting sqref="E48">
    <cfRule type="cellIs" dxfId="128" priority="28" operator="lessThan">
      <formula>$F$48</formula>
    </cfRule>
    <cfRule type="cellIs" dxfId="127" priority="29" operator="greaterThan">
      <formula>$F$48</formula>
    </cfRule>
  </conditionalFormatting>
  <conditionalFormatting sqref="E49">
    <cfRule type="cellIs" dxfId="126" priority="26" operator="lessThan">
      <formula>$F$49</formula>
    </cfRule>
    <cfRule type="cellIs" dxfId="125" priority="27" operator="greaterThan">
      <formula>$F$49</formula>
    </cfRule>
  </conditionalFormatting>
  <conditionalFormatting sqref="E51">
    <cfRule type="cellIs" dxfId="124" priority="24" operator="lessThan">
      <formula>$F$51</formula>
    </cfRule>
    <cfRule type="cellIs" dxfId="123" priority="25" operator="greaterThan">
      <formula>$F$51</formula>
    </cfRule>
  </conditionalFormatting>
  <conditionalFormatting sqref="E52">
    <cfRule type="cellIs" dxfId="122" priority="22" operator="lessThan">
      <formula>$F$52</formula>
    </cfRule>
    <cfRule type="cellIs" dxfId="121" priority="23" operator="greaterThan">
      <formula>$F$52</formula>
    </cfRule>
  </conditionalFormatting>
  <conditionalFormatting sqref="E53">
    <cfRule type="cellIs" dxfId="120" priority="20" operator="lessThan">
      <formula>$F$53</formula>
    </cfRule>
    <cfRule type="cellIs" dxfId="119" priority="21" operator="greaterThan">
      <formula>$F$53</formula>
    </cfRule>
  </conditionalFormatting>
  <conditionalFormatting sqref="E55">
    <cfRule type="cellIs" dxfId="118" priority="18" operator="lessThan">
      <formula>$F$55</formula>
    </cfRule>
    <cfRule type="cellIs" dxfId="117" priority="19" operator="greaterThan">
      <formula>$F$55</formula>
    </cfRule>
  </conditionalFormatting>
  <conditionalFormatting sqref="E56">
    <cfRule type="cellIs" dxfId="116" priority="16" operator="lessThan">
      <formula>$F$56</formula>
    </cfRule>
    <cfRule type="cellIs" dxfId="115" priority="17" operator="greaterThan">
      <formula>$F$56</formula>
    </cfRule>
  </conditionalFormatting>
  <conditionalFormatting sqref="E57">
    <cfRule type="cellIs" dxfId="114" priority="14" operator="lessThan">
      <formula>$F$57</formula>
    </cfRule>
    <cfRule type="cellIs" dxfId="113" priority="15" operator="greaterThan">
      <formula>$F$57</formula>
    </cfRule>
  </conditionalFormatting>
  <conditionalFormatting sqref="H10">
    <cfRule type="cellIs" dxfId="112" priority="42" operator="lessThan">
      <formula>$H$9</formula>
    </cfRule>
  </conditionalFormatting>
  <conditionalFormatting sqref="H12">
    <cfRule type="cellIs" dxfId="111" priority="45" operator="equal">
      <formula>$H$11</formula>
    </cfRule>
    <cfRule type="cellIs" dxfId="110" priority="43" operator="lessThan">
      <formula>$H$11</formula>
    </cfRule>
    <cfRule type="cellIs" dxfId="109" priority="44" operator="greaterThan">
      <formula>$H$11</formula>
    </cfRule>
  </conditionalFormatting>
  <conditionalFormatting sqref="H14">
    <cfRule type="cellIs" dxfId="108" priority="6" operator="equal">
      <formula>"SP"</formula>
    </cfRule>
    <cfRule type="cellIs" dxfId="107" priority="5" operator="equal">
      <formula>"P&amp;D"</formula>
    </cfRule>
    <cfRule type="cellIs" dxfId="106" priority="4" stopIfTrue="1" operator="equal">
      <formula>"MP"</formula>
    </cfRule>
    <cfRule type="cellIs" dxfId="105" priority="3" stopIfTrue="1" operator="equal">
      <formula>"MFR"</formula>
    </cfRule>
    <cfRule type="cellIs" dxfId="104" priority="2" stopIfTrue="1" operator="equal">
      <formula>"IS"</formula>
    </cfRule>
    <cfRule type="cellIs" dxfId="103" priority="1" stopIfTrue="1" operator="equal">
      <formula>"AA"</formula>
    </cfRule>
  </conditionalFormatting>
  <conditionalFormatting sqref="H59">
    <cfRule type="expression" dxfId="102" priority="13">
      <formula>($G$59="ERROR?")</formula>
    </cfRule>
  </conditionalFormatting>
  <printOptions horizontalCentered="1"/>
  <pageMargins left="0.25" right="0.25" top="0.25" bottom="0.5" header="0.25" footer="0.25"/>
  <pageSetup orientation="portrait" horizontalDpi="4294967292" verticalDpi="4294967292" r:id="rId1"/>
  <headerFooter>
    <oddFooter>&amp;L&amp;"Arial Narrow,Regular"&amp;8&amp;K000000&amp;D&amp;C&amp;"Arial Narrow,Regular"&amp;8&amp;K000000PBW (No Inflation)&amp;R&amp;"Arial Narrow,Regular"&amp;8&amp;K000000&amp;P of &amp;N</oddFooter>
  </headerFooter>
  <rowBreaks count="3" manualBreakCount="3">
    <brk id="61" max="16383" man="1"/>
    <brk id="120" max="16383" man="1"/>
    <brk id="179" max="16383" man="1"/>
  </rowBreaks>
  <ignoredErrors>
    <ignoredError sqref="H14 B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01BA081-9B8D-8541-B8BF-5116E3397D7D}">
          <x14:formula1>
            <xm:f>LOOKUPS!$O$3:$O$4</xm:f>
          </x14:formula1>
          <xm:sqref>G135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0624F-AA68-2A48-BD97-891935BC0192}">
  <sheetPr>
    <tabColor rgb="FF003764"/>
  </sheetPr>
  <dimension ref="A1:AE103"/>
  <sheetViews>
    <sheetView showGridLines="0" zoomScaleNormal="100" workbookViewId="0">
      <selection activeCell="I14" sqref="I14"/>
    </sheetView>
  </sheetViews>
  <sheetFormatPr baseColWidth="10" defaultColWidth="10.796875" defaultRowHeight="16"/>
  <cols>
    <col min="1" max="32" width="11" style="25" customWidth="1"/>
    <col min="33" max="16384" width="10.796875" style="25"/>
  </cols>
  <sheetData>
    <row r="1" spans="1:31">
      <c r="A1" s="22"/>
      <c r="B1" s="23" t="s">
        <v>180</v>
      </c>
      <c r="C1" s="23" t="s">
        <v>181</v>
      </c>
      <c r="D1" s="22"/>
      <c r="E1" s="23" t="s">
        <v>182</v>
      </c>
      <c r="F1" s="23" t="s">
        <v>183</v>
      </c>
      <c r="G1" s="22"/>
      <c r="H1" s="559" t="s">
        <v>315</v>
      </c>
      <c r="I1" s="559"/>
      <c r="J1" s="559"/>
      <c r="K1" s="559"/>
      <c r="L1" s="559"/>
      <c r="M1" s="22"/>
      <c r="N1" s="22"/>
      <c r="O1" s="22"/>
      <c r="P1" s="22"/>
      <c r="Q1" s="22"/>
      <c r="R1" s="22"/>
      <c r="S1" s="22"/>
      <c r="T1" s="22"/>
      <c r="U1" s="22"/>
      <c r="V1" s="22"/>
      <c r="W1" s="22"/>
      <c r="X1" s="22"/>
      <c r="Y1" s="22"/>
      <c r="Z1" s="22"/>
    </row>
    <row r="2" spans="1:31">
      <c r="A2" s="26" t="s">
        <v>184</v>
      </c>
      <c r="B2" s="27">
        <f>YEAR($B$5)</f>
        <v>2022</v>
      </c>
      <c r="C2" s="27">
        <f>YEAR($C$5)</f>
        <v>2023</v>
      </c>
      <c r="D2" s="28"/>
      <c r="E2" s="27">
        <f>YEAR($E$5)</f>
        <v>2024</v>
      </c>
      <c r="F2" s="27">
        <f>YEAR($F$5)</f>
        <v>2070</v>
      </c>
      <c r="G2" s="22"/>
      <c r="H2" s="314"/>
      <c r="I2" s="491" t="s">
        <v>193</v>
      </c>
      <c r="J2" s="491" t="s">
        <v>194</v>
      </c>
      <c r="K2" s="491" t="s">
        <v>195</v>
      </c>
      <c r="L2" s="491" t="s">
        <v>196</v>
      </c>
      <c r="M2" s="22"/>
      <c r="N2" s="22"/>
      <c r="O2" s="22"/>
      <c r="P2" s="22"/>
      <c r="Q2" s="22"/>
      <c r="R2" s="22"/>
      <c r="S2" s="22"/>
      <c r="T2" s="22"/>
      <c r="U2" s="22"/>
      <c r="V2" s="22"/>
      <c r="W2" s="22"/>
      <c r="X2" s="22"/>
      <c r="Y2" s="22"/>
      <c r="Z2" s="22"/>
    </row>
    <row r="3" spans="1:31">
      <c r="A3" s="26" t="s">
        <v>185</v>
      </c>
      <c r="B3" s="29">
        <f>MONTH($B$5)</f>
        <v>7</v>
      </c>
      <c r="C3" s="29">
        <f>MONTH($C$5)</f>
        <v>12</v>
      </c>
      <c r="D3" s="28"/>
      <c r="E3" s="29">
        <f>MONTH($E$5)</f>
        <v>1</v>
      </c>
      <c r="F3" s="29">
        <f>MONTH($F$5)</f>
        <v>12</v>
      </c>
      <c r="G3" s="22"/>
      <c r="H3" s="492" t="s">
        <v>184</v>
      </c>
      <c r="I3" s="493">
        <f>YEAR($I$6)</f>
        <v>2025</v>
      </c>
      <c r="J3" s="493">
        <f>YEAR($J$6)</f>
        <v>2024</v>
      </c>
      <c r="K3" s="314"/>
      <c r="L3" s="314"/>
      <c r="M3" s="22"/>
      <c r="N3" s="22"/>
      <c r="O3" s="22"/>
      <c r="P3" s="22"/>
      <c r="Q3" s="22"/>
      <c r="R3" s="22"/>
      <c r="S3" s="22"/>
      <c r="T3" s="22"/>
      <c r="U3" s="22"/>
      <c r="V3" s="22"/>
      <c r="W3" s="22"/>
      <c r="X3" s="22"/>
      <c r="Y3" s="22"/>
      <c r="Z3" s="22"/>
    </row>
    <row r="4" spans="1:31">
      <c r="A4" s="26" t="s">
        <v>186</v>
      </c>
      <c r="B4" s="30" t="str">
        <f>$B$2&amp;TEXT($B$3,"00")</f>
        <v>202207</v>
      </c>
      <c r="C4" s="30" t="str">
        <f>$C$2&amp;TEXT($C$3,"00")</f>
        <v>202312</v>
      </c>
      <c r="D4" s="31"/>
      <c r="E4" s="30" t="str">
        <f>$E$2&amp;TEXT($E$3,"00")</f>
        <v>202401</v>
      </c>
      <c r="F4" s="30" t="str">
        <f>$F$2&amp;TEXT($F$3,"00")</f>
        <v>207012</v>
      </c>
      <c r="G4" s="22"/>
      <c r="H4" s="492" t="s">
        <v>185</v>
      </c>
      <c r="I4" s="494">
        <f>MONTH($I$6)</f>
        <v>5</v>
      </c>
      <c r="J4" s="494">
        <f>MONTH($J$6)</f>
        <v>10</v>
      </c>
      <c r="K4" s="314"/>
      <c r="L4" s="314"/>
      <c r="M4" s="22"/>
      <c r="N4" s="22"/>
      <c r="O4" s="22"/>
      <c r="P4" s="22"/>
      <c r="Q4" s="22"/>
      <c r="R4" s="22"/>
      <c r="S4" s="22"/>
      <c r="T4" s="22"/>
      <c r="U4" s="22"/>
      <c r="V4" s="22"/>
      <c r="W4" s="22"/>
      <c r="X4" s="22"/>
      <c r="Y4" s="22"/>
      <c r="Z4" s="22"/>
    </row>
    <row r="5" spans="1:31">
      <c r="A5" s="26" t="s">
        <v>187</v>
      </c>
      <c r="B5" s="21">
        <v>44743</v>
      </c>
      <c r="C5" s="21">
        <v>45261</v>
      </c>
      <c r="D5" s="31"/>
      <c r="E5" s="21">
        <f>EDATE($C$5,1)</f>
        <v>45292</v>
      </c>
      <c r="F5" s="21">
        <v>62428</v>
      </c>
      <c r="G5" s="22"/>
      <c r="H5" s="492" t="s">
        <v>186</v>
      </c>
      <c r="I5" s="495" t="str">
        <f>$I$3&amp;TEXT($I$4,"00")</f>
        <v>202505</v>
      </c>
      <c r="J5" s="495" t="str">
        <f>$J$3&amp;TEXT($J$4,"00")</f>
        <v>202410</v>
      </c>
      <c r="K5" s="314"/>
      <c r="L5" s="314"/>
      <c r="M5" s="22"/>
      <c r="N5" s="22"/>
      <c r="O5" s="22"/>
      <c r="P5" s="22"/>
      <c r="Q5" s="22"/>
      <c r="R5" s="22"/>
      <c r="S5" s="22"/>
      <c r="T5" s="22"/>
      <c r="U5" s="22"/>
      <c r="V5" s="22"/>
      <c r="W5" s="22"/>
      <c r="X5" s="22"/>
      <c r="Y5" s="22"/>
      <c r="Z5" s="22"/>
    </row>
    <row r="6" spans="1:31">
      <c r="A6" s="26"/>
      <c r="B6" s="32" t="s">
        <v>188</v>
      </c>
      <c r="C6" s="32" t="s">
        <v>189</v>
      </c>
      <c r="D6" s="31"/>
      <c r="E6" s="32" t="s">
        <v>190</v>
      </c>
      <c r="F6" s="32" t="s">
        <v>191</v>
      </c>
      <c r="G6" s="22"/>
      <c r="H6" s="492" t="s">
        <v>187</v>
      </c>
      <c r="I6" s="496">
        <f>(PBW_ALTERNATE!$H$9)</f>
        <v>45778</v>
      </c>
      <c r="J6" s="496">
        <v>45566</v>
      </c>
      <c r="K6" s="314"/>
      <c r="L6" s="497"/>
      <c r="M6" s="22"/>
      <c r="N6" s="22"/>
      <c r="O6" s="22"/>
      <c r="P6" s="22"/>
      <c r="Q6" s="22"/>
      <c r="R6" s="22"/>
      <c r="S6" s="22"/>
      <c r="T6" s="22"/>
      <c r="U6" s="22"/>
      <c r="V6" s="22"/>
      <c r="W6" s="22"/>
      <c r="X6" s="22"/>
      <c r="Y6" s="22"/>
      <c r="Z6" s="22"/>
    </row>
    <row r="7" spans="1:31">
      <c r="A7" s="26" t="s">
        <v>192</v>
      </c>
      <c r="B7" s="19">
        <v>0.16</v>
      </c>
      <c r="C7" s="19">
        <f>($B$7/12)</f>
        <v>1.3333333333333334E-2</v>
      </c>
      <c r="D7" s="22"/>
      <c r="E7" s="19">
        <v>0.06</v>
      </c>
      <c r="F7" s="19">
        <f>($E$7/12)</f>
        <v>5.0000000000000001E-3</v>
      </c>
      <c r="G7" s="22"/>
      <c r="H7" s="492" t="s">
        <v>197</v>
      </c>
      <c r="I7" s="498">
        <f>INDEX($B$19:$M$99,MATCH(I$3,$A$19:$A$99,1),MATCH(I$4,$B$18:$M$18,1))</f>
        <v>8520.44</v>
      </c>
      <c r="J7" s="498">
        <f>INDEX($B$19:$M$99,MATCH(J$3,$A$19:$A$99,1),MATCH(J$4,$B$18:$M$18,1))</f>
        <v>8404.93</v>
      </c>
      <c r="K7" s="499">
        <f>($J$7/$I$7)-1</f>
        <v>-1.3556811620057174E-2</v>
      </c>
      <c r="L7" s="497">
        <f>($J$7/$I$7)</f>
        <v>0.98644318837994283</v>
      </c>
      <c r="M7" s="22"/>
      <c r="N7" s="22"/>
      <c r="O7" s="22"/>
      <c r="P7" s="22"/>
      <c r="Q7" s="22"/>
      <c r="R7" s="22"/>
      <c r="S7" s="22"/>
      <c r="T7" s="22"/>
      <c r="U7" s="22"/>
      <c r="V7" s="22"/>
      <c r="W7" s="22"/>
      <c r="X7" s="22"/>
      <c r="Y7" s="22"/>
      <c r="Z7" s="22"/>
    </row>
    <row r="8" spans="1:31">
      <c r="A8" s="22"/>
      <c r="B8" s="22"/>
      <c r="C8" s="22"/>
      <c r="D8" s="22"/>
      <c r="E8" s="22"/>
      <c r="F8" s="22"/>
      <c r="G8" s="22"/>
      <c r="H8" s="22"/>
      <c r="I8" s="22"/>
      <c r="J8" s="22"/>
      <c r="K8" s="22"/>
      <c r="L8" s="22"/>
      <c r="M8" s="22"/>
      <c r="N8" s="22"/>
      <c r="O8" s="22"/>
      <c r="P8" s="22"/>
      <c r="Q8" s="22"/>
      <c r="R8" s="22"/>
      <c r="S8" s="22"/>
      <c r="T8" s="22"/>
      <c r="U8" s="22"/>
      <c r="V8" s="22"/>
      <c r="W8" s="22"/>
      <c r="X8" s="22"/>
      <c r="Y8" s="22"/>
      <c r="Z8" s="22"/>
    </row>
    <row r="9" spans="1:31">
      <c r="A9" s="22"/>
      <c r="B9" s="560" t="s">
        <v>218</v>
      </c>
      <c r="C9" s="560"/>
      <c r="D9" s="560"/>
      <c r="E9" s="560"/>
      <c r="F9" s="560"/>
      <c r="G9" s="22"/>
      <c r="H9" s="561" t="s">
        <v>203</v>
      </c>
      <c r="I9" s="561"/>
      <c r="J9" s="561"/>
      <c r="K9" s="561"/>
      <c r="L9" s="561"/>
      <c r="M9" s="22"/>
      <c r="N9" s="22"/>
      <c r="O9" s="560" t="s">
        <v>216</v>
      </c>
      <c r="P9" s="560"/>
      <c r="Q9" s="560"/>
      <c r="R9" s="560"/>
      <c r="S9" s="560"/>
      <c r="T9" s="483"/>
      <c r="U9" s="560" t="s">
        <v>215</v>
      </c>
      <c r="V9" s="560"/>
      <c r="W9" s="560"/>
      <c r="X9" s="560"/>
      <c r="Y9" s="560"/>
      <c r="Z9" s="22"/>
      <c r="AA9" s="558" t="s">
        <v>217</v>
      </c>
      <c r="AB9" s="558"/>
      <c r="AC9" s="558"/>
      <c r="AD9" s="558"/>
      <c r="AE9" s="558"/>
    </row>
    <row r="10" spans="1:31">
      <c r="A10" s="22"/>
      <c r="B10" s="483"/>
      <c r="C10" s="397" t="s">
        <v>212</v>
      </c>
      <c r="D10" s="397" t="s">
        <v>213</v>
      </c>
      <c r="E10" s="397" t="s">
        <v>195</v>
      </c>
      <c r="F10" s="397" t="s">
        <v>196</v>
      </c>
      <c r="G10" s="22"/>
      <c r="H10" s="22"/>
      <c r="I10" s="23" t="s">
        <v>193</v>
      </c>
      <c r="J10" s="23" t="s">
        <v>194</v>
      </c>
      <c r="K10" s="23" t="s">
        <v>195</v>
      </c>
      <c r="L10" s="23" t="s">
        <v>196</v>
      </c>
      <c r="M10" s="22"/>
      <c r="N10" s="22"/>
      <c r="O10" s="483"/>
      <c r="P10" s="397" t="s">
        <v>198</v>
      </c>
      <c r="Q10" s="397" t="s">
        <v>199</v>
      </c>
      <c r="R10" s="397" t="s">
        <v>195</v>
      </c>
      <c r="S10" s="397" t="s">
        <v>196</v>
      </c>
      <c r="T10" s="483"/>
      <c r="U10" s="483"/>
      <c r="V10" s="397" t="s">
        <v>200</v>
      </c>
      <c r="W10" s="397" t="s">
        <v>199</v>
      </c>
      <c r="X10" s="397" t="s">
        <v>195</v>
      </c>
      <c r="Y10" s="397" t="s">
        <v>196</v>
      </c>
      <c r="Z10" s="22"/>
      <c r="AA10" s="500"/>
      <c r="AB10" s="501" t="s">
        <v>202</v>
      </c>
      <c r="AC10" s="501" t="s">
        <v>199</v>
      </c>
      <c r="AD10" s="501" t="s">
        <v>195</v>
      </c>
      <c r="AE10" s="501" t="s">
        <v>196</v>
      </c>
    </row>
    <row r="11" spans="1:31">
      <c r="A11" s="22"/>
      <c r="B11" s="396" t="s">
        <v>184</v>
      </c>
      <c r="C11" s="484">
        <f>YEAR($C$14)</f>
        <v>2025</v>
      </c>
      <c r="D11" s="484">
        <f>YEAR($D$14)</f>
        <v>2029</v>
      </c>
      <c r="E11" s="483"/>
      <c r="F11" s="483"/>
      <c r="G11" s="28"/>
      <c r="H11" s="33" t="s">
        <v>184</v>
      </c>
      <c r="I11" s="27">
        <f>YEAR($I$14)</f>
        <v>2025</v>
      </c>
      <c r="J11" s="27">
        <f>YEAR($J$14)</f>
        <v>2029</v>
      </c>
      <c r="K11" s="22"/>
      <c r="L11" s="22"/>
      <c r="M11" s="22"/>
      <c r="N11" s="22"/>
      <c r="O11" s="396" t="s">
        <v>184</v>
      </c>
      <c r="P11" s="484">
        <f>YEAR($P$14)</f>
        <v>2011</v>
      </c>
      <c r="Q11" s="484">
        <f>YEAR($Q$14)</f>
        <v>2025</v>
      </c>
      <c r="R11" s="483"/>
      <c r="S11" s="483"/>
      <c r="T11" s="483"/>
      <c r="U11" s="396" t="s">
        <v>184</v>
      </c>
      <c r="V11" s="484">
        <f>YEAR($V$14)</f>
        <v>2018</v>
      </c>
      <c r="W11" s="484">
        <f>YEAR($W$14)</f>
        <v>2025</v>
      </c>
      <c r="X11" s="483"/>
      <c r="Y11" s="483"/>
      <c r="Z11" s="22"/>
      <c r="AA11" s="502" t="s">
        <v>184</v>
      </c>
      <c r="AB11" s="503">
        <f>YEAR($AB$14)</f>
        <v>2022</v>
      </c>
      <c r="AC11" s="503">
        <f>YEAR($AC$14)</f>
        <v>2025</v>
      </c>
      <c r="AD11" s="500"/>
      <c r="AE11" s="500"/>
    </row>
    <row r="12" spans="1:31">
      <c r="A12" s="22"/>
      <c r="B12" s="396" t="s">
        <v>185</v>
      </c>
      <c r="C12" s="485">
        <f>MONTH($C$14)</f>
        <v>5</v>
      </c>
      <c r="D12" s="485">
        <f>MONTH($D$14)</f>
        <v>7</v>
      </c>
      <c r="E12" s="483"/>
      <c r="F12" s="483"/>
      <c r="G12" s="28"/>
      <c r="H12" s="33" t="s">
        <v>185</v>
      </c>
      <c r="I12" s="29">
        <f>MONTH($I$14)</f>
        <v>3</v>
      </c>
      <c r="J12" s="29">
        <f>MONTH($J$14)</f>
        <v>7</v>
      </c>
      <c r="K12" s="22"/>
      <c r="L12" s="22"/>
      <c r="M12" s="22"/>
      <c r="N12" s="22"/>
      <c r="O12" s="396" t="s">
        <v>185</v>
      </c>
      <c r="P12" s="485">
        <f>MONTH($P$14)</f>
        <v>7</v>
      </c>
      <c r="Q12" s="485">
        <f>MONTH($Q$14)</f>
        <v>5</v>
      </c>
      <c r="R12" s="483"/>
      <c r="S12" s="483"/>
      <c r="T12" s="483"/>
      <c r="U12" s="396" t="s">
        <v>185</v>
      </c>
      <c r="V12" s="485">
        <f>MONTH($V$14)</f>
        <v>7</v>
      </c>
      <c r="W12" s="485">
        <f>MONTH($W$14)</f>
        <v>5</v>
      </c>
      <c r="X12" s="483"/>
      <c r="Y12" s="483"/>
      <c r="Z12" s="22"/>
      <c r="AA12" s="502" t="s">
        <v>185</v>
      </c>
      <c r="AB12" s="504">
        <f>MONTH($AB$14)</f>
        <v>12</v>
      </c>
      <c r="AC12" s="504">
        <f>MONTH($AC$14)</f>
        <v>5</v>
      </c>
      <c r="AD12" s="500"/>
      <c r="AE12" s="500"/>
    </row>
    <row r="13" spans="1:31">
      <c r="A13" s="22"/>
      <c r="B13" s="396" t="s">
        <v>186</v>
      </c>
      <c r="C13" s="486" t="str">
        <f>$C$11&amp;TEXT($C$12,"00")</f>
        <v>202505</v>
      </c>
      <c r="D13" s="486" t="str">
        <f>$D$11&amp;TEXT($D$12,"00")</f>
        <v>202907</v>
      </c>
      <c r="E13" s="483"/>
      <c r="F13" s="483"/>
      <c r="G13" s="22"/>
      <c r="H13" s="26" t="s">
        <v>186</v>
      </c>
      <c r="I13" s="34" t="str">
        <f>$I$11&amp;TEXT($I$12,"00")</f>
        <v>202503</v>
      </c>
      <c r="J13" s="34" t="str">
        <f>$J$11&amp;TEXT($J$12,"00")</f>
        <v>202907</v>
      </c>
      <c r="K13" s="22"/>
      <c r="L13" s="22"/>
      <c r="M13" s="22"/>
      <c r="N13" s="22"/>
      <c r="O13" s="396" t="s">
        <v>186</v>
      </c>
      <c r="P13" s="486" t="str">
        <f>$P$11&amp;TEXT($P$12,"00")</f>
        <v>201107</v>
      </c>
      <c r="Q13" s="486" t="str">
        <f>$Q$11&amp;TEXT($Q$12,"00")</f>
        <v>202505</v>
      </c>
      <c r="R13" s="483"/>
      <c r="S13" s="483"/>
      <c r="T13" s="483"/>
      <c r="U13" s="396" t="s">
        <v>186</v>
      </c>
      <c r="V13" s="486" t="str">
        <f>$V$11&amp;TEXT($V$12,"00")</f>
        <v>201807</v>
      </c>
      <c r="W13" s="486" t="str">
        <f>$W$11&amp;TEXT($W$12,"00")</f>
        <v>202505</v>
      </c>
      <c r="X13" s="483"/>
      <c r="Y13" s="483"/>
      <c r="Z13" s="22"/>
      <c r="AA13" s="502" t="s">
        <v>186</v>
      </c>
      <c r="AB13" s="505" t="str">
        <f>$AB$11&amp;TEXT($AB$12,"00")</f>
        <v>202212</v>
      </c>
      <c r="AC13" s="505" t="str">
        <f>$AC$11&amp;TEXT($AC$12,"00")</f>
        <v>202505</v>
      </c>
      <c r="AD13" s="500"/>
      <c r="AE13" s="500"/>
    </row>
    <row r="14" spans="1:31">
      <c r="A14" s="22"/>
      <c r="B14" s="396" t="s">
        <v>187</v>
      </c>
      <c r="C14" s="487">
        <f>(PBW!$H$9)</f>
        <v>45778</v>
      </c>
      <c r="D14" s="487">
        <f>(PBW!$H$10)</f>
        <v>47300</v>
      </c>
      <c r="E14" s="483"/>
      <c r="F14" s="483"/>
      <c r="G14" s="22"/>
      <c r="H14" s="26" t="s">
        <v>187</v>
      </c>
      <c r="I14" s="398">
        <v>45717</v>
      </c>
      <c r="J14" s="398">
        <f>($D$14)</f>
        <v>47300</v>
      </c>
      <c r="K14" s="22"/>
      <c r="L14" s="60">
        <f>($J$15/$I$15)</f>
        <v>1.2959150887112694</v>
      </c>
      <c r="M14" s="22"/>
      <c r="N14" s="22"/>
      <c r="O14" s="396" t="s">
        <v>187</v>
      </c>
      <c r="P14" s="487">
        <v>40725</v>
      </c>
      <c r="Q14" s="487">
        <f>($C$14)</f>
        <v>45778</v>
      </c>
      <c r="R14" s="483"/>
      <c r="S14" s="483"/>
      <c r="T14" s="483"/>
      <c r="U14" s="396" t="s">
        <v>187</v>
      </c>
      <c r="V14" s="487">
        <v>43282</v>
      </c>
      <c r="W14" s="487">
        <f>($C$14)</f>
        <v>45778</v>
      </c>
      <c r="X14" s="483"/>
      <c r="Y14" s="483"/>
      <c r="Z14" s="22"/>
      <c r="AA14" s="502" t="s">
        <v>187</v>
      </c>
      <c r="AB14" s="506">
        <v>44896</v>
      </c>
      <c r="AC14" s="506">
        <f>(LOOKUPS!$A$2)</f>
        <v>45778</v>
      </c>
      <c r="AD14" s="500"/>
      <c r="AE14" s="500"/>
    </row>
    <row r="15" spans="1:31">
      <c r="A15" s="22"/>
      <c r="B15" s="396" t="s">
        <v>197</v>
      </c>
      <c r="C15" s="488">
        <f>INDEX($B$19:$M$99,MATCH(C$11,$A$19:$A$99,1),MATCH(C$12,$B$18:$M$18,1))</f>
        <v>8520.44</v>
      </c>
      <c r="D15" s="488">
        <f>INDEX($B$19:$M$99,MATCH(D$11,$A$19:$A$99,1),MATCH(D$12,$B$18:$M$18,1))</f>
        <v>10933.648562607867</v>
      </c>
      <c r="E15" s="489">
        <f>($D$15/$C$15)-1</f>
        <v>0.28322581493536325</v>
      </c>
      <c r="F15" s="490">
        <f>($D$15/$C$15)</f>
        <v>1.2832258149353633</v>
      </c>
      <c r="G15" s="22"/>
      <c r="H15" s="26" t="s">
        <v>197</v>
      </c>
      <c r="I15" s="35">
        <f>INDEX($B$19:$M$99,MATCH(I$11,$A$19:$A$99,1),MATCH(I$12,$B$18:$M$18,1))</f>
        <v>8437.01</v>
      </c>
      <c r="J15" s="35">
        <f>INDEX($B$19:$M$99,MATCH(J$11,$A$19:$A$99,1),MATCH(J$12,$B$18:$M$18,1))</f>
        <v>10933.648562607867</v>
      </c>
      <c r="K15" s="20">
        <f>($J$15/$I$15)-1</f>
        <v>0.29591508871126937</v>
      </c>
      <c r="L15" s="510">
        <f>($L$14)</f>
        <v>1.2959150887112694</v>
      </c>
      <c r="M15" s="22"/>
      <c r="N15" s="22"/>
      <c r="O15" s="396" t="s">
        <v>197</v>
      </c>
      <c r="P15" s="488">
        <f>INDEX($B$19:$M$99,MATCH(P$11,$A$19:$A$99,1),MATCH(P$12,$B$18:$M$18,1))</f>
        <v>5074</v>
      </c>
      <c r="Q15" s="488">
        <f>INDEX($B$19:$M$99,MATCH(Q$11,$A$19:$A$99,1),MATCH(Q$12,$B$18:$M$18,1))</f>
        <v>8520.44</v>
      </c>
      <c r="R15" s="489">
        <f>($Q$15/$P$15)-1</f>
        <v>0.6792353173039023</v>
      </c>
      <c r="S15" s="490">
        <f>($Q$15/$P$15)</f>
        <v>1.6792353173039023</v>
      </c>
      <c r="T15" s="483"/>
      <c r="U15" s="396" t="s">
        <v>197</v>
      </c>
      <c r="V15" s="488">
        <f>INDEX($B$19:$M$99,MATCH(V$11,$A$19:$A$99,1),MATCH(V$12,$B$18:$M$18,1))</f>
        <v>6042.91</v>
      </c>
      <c r="W15" s="488">
        <f>INDEX($B$19:$M$99,MATCH(W$11,$A$19:$A$99,1),MATCH(W$12,$B$18:$M$18,1))</f>
        <v>8520.44</v>
      </c>
      <c r="X15" s="489">
        <f>($W$15/$V$15)-1</f>
        <v>0.40998955801095849</v>
      </c>
      <c r="Y15" s="490">
        <f>($W$15/$V$15)</f>
        <v>1.4099895580109585</v>
      </c>
      <c r="Z15" s="22"/>
      <c r="AA15" s="502" t="s">
        <v>197</v>
      </c>
      <c r="AB15" s="507">
        <f>INDEX($B$19:$M$99,MATCH(AB$11,$A$19:$A$99,1),MATCH(AB$12,$B$18:$M$18,1))</f>
        <v>7971.96</v>
      </c>
      <c r="AC15" s="507">
        <f>INDEX($B$19:$M$99,MATCH(AC$11,$A$19:$A$99,1),MATCH(AC$12,$B$18:$M$18,1))</f>
        <v>8520.44</v>
      </c>
      <c r="AD15" s="508">
        <f>($AC$15/$AB$15)-1</f>
        <v>6.8801148023823533E-2</v>
      </c>
      <c r="AE15" s="509">
        <f>($AC$15/$AB$15)</f>
        <v>1.0688011480238235</v>
      </c>
    </row>
    <row r="16" spans="1:3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c r="A18" s="36"/>
      <c r="B18" s="37">
        <v>1</v>
      </c>
      <c r="C18" s="37">
        <v>2</v>
      </c>
      <c r="D18" s="37">
        <v>3</v>
      </c>
      <c r="E18" s="37">
        <v>4</v>
      </c>
      <c r="F18" s="37">
        <v>5</v>
      </c>
      <c r="G18" s="37">
        <v>6</v>
      </c>
      <c r="H18" s="37">
        <v>7</v>
      </c>
      <c r="I18" s="37">
        <v>8</v>
      </c>
      <c r="J18" s="37">
        <v>9</v>
      </c>
      <c r="K18" s="37">
        <v>10</v>
      </c>
      <c r="L18" s="37">
        <v>11</v>
      </c>
      <c r="M18" s="37">
        <v>12</v>
      </c>
      <c r="N18" s="22"/>
      <c r="O18" s="37">
        <v>1</v>
      </c>
      <c r="P18" s="37">
        <v>2</v>
      </c>
      <c r="Q18" s="37">
        <v>3</v>
      </c>
      <c r="R18" s="37">
        <v>4</v>
      </c>
      <c r="S18" s="37">
        <v>5</v>
      </c>
      <c r="T18" s="37">
        <v>6</v>
      </c>
      <c r="U18" s="37">
        <v>7</v>
      </c>
      <c r="V18" s="37">
        <v>8</v>
      </c>
      <c r="W18" s="37">
        <v>9</v>
      </c>
      <c r="X18" s="37">
        <v>10</v>
      </c>
      <c r="Y18" s="37">
        <v>11</v>
      </c>
      <c r="Z18" s="37">
        <v>12</v>
      </c>
    </row>
    <row r="19" spans="1:26">
      <c r="A19" s="38">
        <v>1990</v>
      </c>
      <c r="B19" s="39">
        <v>2664</v>
      </c>
      <c r="C19" s="39">
        <v>2668</v>
      </c>
      <c r="D19" s="39">
        <v>2673</v>
      </c>
      <c r="E19" s="39">
        <v>2676</v>
      </c>
      <c r="F19" s="39">
        <v>2691</v>
      </c>
      <c r="G19" s="39">
        <v>2715</v>
      </c>
      <c r="H19" s="39">
        <v>2716</v>
      </c>
      <c r="I19" s="39">
        <v>2716</v>
      </c>
      <c r="J19" s="39">
        <v>2730</v>
      </c>
      <c r="K19" s="39">
        <v>2728</v>
      </c>
      <c r="L19" s="39">
        <v>2730</v>
      </c>
      <c r="M19" s="39">
        <v>2720</v>
      </c>
      <c r="N19" s="22"/>
      <c r="O19" s="40" t="str">
        <f>$A19&amp;TEXT(B$18,"00")</f>
        <v>199001</v>
      </c>
      <c r="P19" s="40" t="str">
        <f t="shared" ref="P19:Z34" si="0">$A19&amp;TEXT(C$18,"00")</f>
        <v>199002</v>
      </c>
      <c r="Q19" s="40" t="str">
        <f t="shared" si="0"/>
        <v>199003</v>
      </c>
      <c r="R19" s="40" t="str">
        <f t="shared" si="0"/>
        <v>199004</v>
      </c>
      <c r="S19" s="40" t="str">
        <f t="shared" si="0"/>
        <v>199005</v>
      </c>
      <c r="T19" s="40" t="str">
        <f t="shared" si="0"/>
        <v>199006</v>
      </c>
      <c r="U19" s="40" t="str">
        <f t="shared" si="0"/>
        <v>199007</v>
      </c>
      <c r="V19" s="40" t="str">
        <f t="shared" si="0"/>
        <v>199008</v>
      </c>
      <c r="W19" s="40" t="str">
        <f t="shared" si="0"/>
        <v>199009</v>
      </c>
      <c r="X19" s="40" t="str">
        <f t="shared" si="0"/>
        <v>199010</v>
      </c>
      <c r="Y19" s="40" t="str">
        <f t="shared" si="0"/>
        <v>199011</v>
      </c>
      <c r="Z19" s="40" t="str">
        <f t="shared" si="0"/>
        <v>199012</v>
      </c>
    </row>
    <row r="20" spans="1:26">
      <c r="A20" s="41">
        <v>1991</v>
      </c>
      <c r="B20" s="42">
        <v>2720</v>
      </c>
      <c r="C20" s="42">
        <v>2716</v>
      </c>
      <c r="D20" s="42">
        <v>2715</v>
      </c>
      <c r="E20" s="42">
        <v>2709</v>
      </c>
      <c r="F20" s="42">
        <v>2723</v>
      </c>
      <c r="G20" s="42">
        <v>2733</v>
      </c>
      <c r="H20" s="42">
        <v>2757</v>
      </c>
      <c r="I20" s="42">
        <v>2792</v>
      </c>
      <c r="J20" s="42">
        <v>2785</v>
      </c>
      <c r="K20" s="42">
        <v>2786</v>
      </c>
      <c r="L20" s="42">
        <v>2791</v>
      </c>
      <c r="M20" s="42">
        <v>2784</v>
      </c>
      <c r="N20" s="22"/>
      <c r="O20" s="43" t="str">
        <f t="shared" ref="O20:Z54" si="1">$A20&amp;TEXT(B$18,"00")</f>
        <v>199101</v>
      </c>
      <c r="P20" s="43" t="str">
        <f t="shared" si="0"/>
        <v>199102</v>
      </c>
      <c r="Q20" s="43" t="str">
        <f t="shared" si="0"/>
        <v>199103</v>
      </c>
      <c r="R20" s="43" t="str">
        <f t="shared" si="0"/>
        <v>199104</v>
      </c>
      <c r="S20" s="43" t="str">
        <f t="shared" si="0"/>
        <v>199105</v>
      </c>
      <c r="T20" s="43" t="str">
        <f t="shared" si="0"/>
        <v>199106</v>
      </c>
      <c r="U20" s="43" t="str">
        <f t="shared" si="0"/>
        <v>199107</v>
      </c>
      <c r="V20" s="43" t="str">
        <f t="shared" si="0"/>
        <v>199108</v>
      </c>
      <c r="W20" s="43" t="str">
        <f t="shared" si="0"/>
        <v>199109</v>
      </c>
      <c r="X20" s="43" t="str">
        <f t="shared" si="0"/>
        <v>199110</v>
      </c>
      <c r="Y20" s="43" t="str">
        <f t="shared" si="0"/>
        <v>199111</v>
      </c>
      <c r="Z20" s="43" t="str">
        <f t="shared" si="0"/>
        <v>199112</v>
      </c>
    </row>
    <row r="21" spans="1:26">
      <c r="A21" s="41">
        <v>1992</v>
      </c>
      <c r="B21" s="42">
        <v>2784</v>
      </c>
      <c r="C21" s="42">
        <v>2775</v>
      </c>
      <c r="D21" s="42">
        <v>2799</v>
      </c>
      <c r="E21" s="42">
        <v>2809</v>
      </c>
      <c r="F21" s="42">
        <v>2828</v>
      </c>
      <c r="G21" s="42">
        <v>2838</v>
      </c>
      <c r="H21" s="42">
        <v>2845</v>
      </c>
      <c r="I21" s="42">
        <v>2854</v>
      </c>
      <c r="J21" s="42">
        <v>2857</v>
      </c>
      <c r="K21" s="42">
        <v>2867</v>
      </c>
      <c r="L21" s="42">
        <v>2873</v>
      </c>
      <c r="M21" s="42">
        <v>2875</v>
      </c>
      <c r="N21" s="22"/>
      <c r="O21" s="43" t="str">
        <f t="shared" si="1"/>
        <v>199201</v>
      </c>
      <c r="P21" s="43" t="str">
        <f t="shared" si="0"/>
        <v>199202</v>
      </c>
      <c r="Q21" s="43" t="str">
        <f t="shared" si="0"/>
        <v>199203</v>
      </c>
      <c r="R21" s="43" t="str">
        <f t="shared" si="0"/>
        <v>199204</v>
      </c>
      <c r="S21" s="43" t="str">
        <f t="shared" si="0"/>
        <v>199205</v>
      </c>
      <c r="T21" s="43" t="str">
        <f t="shared" si="0"/>
        <v>199206</v>
      </c>
      <c r="U21" s="43" t="str">
        <f t="shared" si="0"/>
        <v>199207</v>
      </c>
      <c r="V21" s="43" t="str">
        <f t="shared" si="0"/>
        <v>199208</v>
      </c>
      <c r="W21" s="43" t="str">
        <f t="shared" si="0"/>
        <v>199209</v>
      </c>
      <c r="X21" s="43" t="str">
        <f t="shared" si="0"/>
        <v>199210</v>
      </c>
      <c r="Y21" s="43" t="str">
        <f t="shared" si="0"/>
        <v>199211</v>
      </c>
      <c r="Z21" s="43" t="str">
        <f t="shared" si="0"/>
        <v>199212</v>
      </c>
    </row>
    <row r="22" spans="1:26">
      <c r="A22" s="41">
        <v>1993</v>
      </c>
      <c r="B22" s="42">
        <v>2886</v>
      </c>
      <c r="C22" s="42">
        <v>2886</v>
      </c>
      <c r="D22" s="42">
        <v>2915</v>
      </c>
      <c r="E22" s="42">
        <v>2976</v>
      </c>
      <c r="F22" s="42">
        <v>3071</v>
      </c>
      <c r="G22" s="42">
        <v>3066</v>
      </c>
      <c r="H22" s="42">
        <v>3038</v>
      </c>
      <c r="I22" s="42">
        <v>3014</v>
      </c>
      <c r="J22" s="42">
        <v>3009</v>
      </c>
      <c r="K22" s="42">
        <v>3016</v>
      </c>
      <c r="L22" s="42">
        <v>3029</v>
      </c>
      <c r="M22" s="42">
        <v>3046</v>
      </c>
      <c r="N22" s="22"/>
      <c r="O22" s="43" t="str">
        <f t="shared" si="1"/>
        <v>199301</v>
      </c>
      <c r="P22" s="43" t="str">
        <f t="shared" si="0"/>
        <v>199302</v>
      </c>
      <c r="Q22" s="43" t="str">
        <f t="shared" si="0"/>
        <v>199303</v>
      </c>
      <c r="R22" s="43" t="str">
        <f t="shared" si="0"/>
        <v>199304</v>
      </c>
      <c r="S22" s="43" t="str">
        <f t="shared" si="0"/>
        <v>199305</v>
      </c>
      <c r="T22" s="43" t="str">
        <f t="shared" si="0"/>
        <v>199306</v>
      </c>
      <c r="U22" s="43" t="str">
        <f t="shared" si="0"/>
        <v>199307</v>
      </c>
      <c r="V22" s="43" t="str">
        <f t="shared" si="0"/>
        <v>199308</v>
      </c>
      <c r="W22" s="43" t="str">
        <f t="shared" si="0"/>
        <v>199309</v>
      </c>
      <c r="X22" s="43" t="str">
        <f t="shared" si="0"/>
        <v>199310</v>
      </c>
      <c r="Y22" s="43" t="str">
        <f t="shared" si="0"/>
        <v>199311</v>
      </c>
      <c r="Z22" s="43" t="str">
        <f t="shared" si="0"/>
        <v>199312</v>
      </c>
    </row>
    <row r="23" spans="1:26">
      <c r="A23" s="41">
        <v>1994</v>
      </c>
      <c r="B23" s="42">
        <v>3071</v>
      </c>
      <c r="C23" s="42">
        <v>3106</v>
      </c>
      <c r="D23" s="42">
        <v>3116</v>
      </c>
      <c r="E23" s="42">
        <v>3127</v>
      </c>
      <c r="F23" s="42">
        <v>3125</v>
      </c>
      <c r="G23" s="42">
        <v>3115</v>
      </c>
      <c r="H23" s="42">
        <v>3107</v>
      </c>
      <c r="I23" s="42">
        <v>3109</v>
      </c>
      <c r="J23" s="42">
        <v>3116</v>
      </c>
      <c r="K23" s="42">
        <v>3116</v>
      </c>
      <c r="L23" s="42">
        <v>3109</v>
      </c>
      <c r="M23" s="42">
        <v>3110</v>
      </c>
      <c r="N23" s="22"/>
      <c r="O23" s="43" t="str">
        <f t="shared" si="1"/>
        <v>199401</v>
      </c>
      <c r="P23" s="43" t="str">
        <f t="shared" si="0"/>
        <v>199402</v>
      </c>
      <c r="Q23" s="43" t="str">
        <f t="shared" si="0"/>
        <v>199403</v>
      </c>
      <c r="R23" s="43" t="str">
        <f t="shared" si="0"/>
        <v>199404</v>
      </c>
      <c r="S23" s="43" t="str">
        <f t="shared" si="0"/>
        <v>199405</v>
      </c>
      <c r="T23" s="43" t="str">
        <f t="shared" si="0"/>
        <v>199406</v>
      </c>
      <c r="U23" s="43" t="str">
        <f t="shared" si="0"/>
        <v>199407</v>
      </c>
      <c r="V23" s="43" t="str">
        <f t="shared" si="0"/>
        <v>199408</v>
      </c>
      <c r="W23" s="43" t="str">
        <f t="shared" si="0"/>
        <v>199409</v>
      </c>
      <c r="X23" s="43" t="str">
        <f t="shared" si="0"/>
        <v>199410</v>
      </c>
      <c r="Y23" s="43" t="str">
        <f t="shared" si="0"/>
        <v>199411</v>
      </c>
      <c r="Z23" s="43" t="str">
        <f t="shared" si="0"/>
        <v>199412</v>
      </c>
    </row>
    <row r="24" spans="1:26">
      <c r="A24" s="41">
        <v>1995</v>
      </c>
      <c r="B24" s="42">
        <v>3112</v>
      </c>
      <c r="C24" s="42">
        <v>3111</v>
      </c>
      <c r="D24" s="42">
        <v>3103</v>
      </c>
      <c r="E24" s="42">
        <v>3100</v>
      </c>
      <c r="F24" s="42">
        <v>3096</v>
      </c>
      <c r="G24" s="42">
        <v>3095</v>
      </c>
      <c r="H24" s="42">
        <v>3114</v>
      </c>
      <c r="I24" s="42">
        <v>3121</v>
      </c>
      <c r="J24" s="42">
        <v>3109</v>
      </c>
      <c r="K24" s="42">
        <v>3117</v>
      </c>
      <c r="L24" s="42">
        <v>3131</v>
      </c>
      <c r="M24" s="42">
        <v>3128</v>
      </c>
      <c r="N24" s="22"/>
      <c r="O24" s="43" t="str">
        <f t="shared" si="1"/>
        <v>199501</v>
      </c>
      <c r="P24" s="43" t="str">
        <f t="shared" si="0"/>
        <v>199502</v>
      </c>
      <c r="Q24" s="43" t="str">
        <f t="shared" si="0"/>
        <v>199503</v>
      </c>
      <c r="R24" s="43" t="str">
        <f t="shared" si="0"/>
        <v>199504</v>
      </c>
      <c r="S24" s="43" t="str">
        <f t="shared" si="0"/>
        <v>199505</v>
      </c>
      <c r="T24" s="43" t="str">
        <f t="shared" si="0"/>
        <v>199506</v>
      </c>
      <c r="U24" s="43" t="str">
        <f t="shared" si="0"/>
        <v>199507</v>
      </c>
      <c r="V24" s="43" t="str">
        <f t="shared" si="0"/>
        <v>199508</v>
      </c>
      <c r="W24" s="43" t="str">
        <f t="shared" si="0"/>
        <v>199509</v>
      </c>
      <c r="X24" s="43" t="str">
        <f t="shared" si="0"/>
        <v>199510</v>
      </c>
      <c r="Y24" s="43" t="str">
        <f t="shared" si="0"/>
        <v>199511</v>
      </c>
      <c r="Z24" s="43" t="str">
        <f t="shared" si="0"/>
        <v>199512</v>
      </c>
    </row>
    <row r="25" spans="1:26">
      <c r="A25" s="41">
        <v>1996</v>
      </c>
      <c r="B25" s="42">
        <v>3127</v>
      </c>
      <c r="C25" s="42">
        <v>3131</v>
      </c>
      <c r="D25" s="42">
        <v>3135</v>
      </c>
      <c r="E25" s="42">
        <v>3148</v>
      </c>
      <c r="F25" s="42">
        <v>3161</v>
      </c>
      <c r="G25" s="42">
        <v>3178</v>
      </c>
      <c r="H25" s="42">
        <v>3190</v>
      </c>
      <c r="I25" s="42">
        <v>3223</v>
      </c>
      <c r="J25" s="42">
        <v>3246</v>
      </c>
      <c r="K25" s="42">
        <v>3284</v>
      </c>
      <c r="L25" s="42">
        <v>3304</v>
      </c>
      <c r="M25" s="42">
        <v>3311</v>
      </c>
      <c r="N25" s="22"/>
      <c r="O25" s="43" t="str">
        <f t="shared" si="1"/>
        <v>199601</v>
      </c>
      <c r="P25" s="43" t="str">
        <f t="shared" si="0"/>
        <v>199602</v>
      </c>
      <c r="Q25" s="43" t="str">
        <f t="shared" si="0"/>
        <v>199603</v>
      </c>
      <c r="R25" s="43" t="str">
        <f t="shared" si="0"/>
        <v>199604</v>
      </c>
      <c r="S25" s="43" t="str">
        <f t="shared" si="0"/>
        <v>199605</v>
      </c>
      <c r="T25" s="43" t="str">
        <f t="shared" si="0"/>
        <v>199606</v>
      </c>
      <c r="U25" s="43" t="str">
        <f t="shared" si="0"/>
        <v>199607</v>
      </c>
      <c r="V25" s="43" t="str">
        <f t="shared" si="0"/>
        <v>199608</v>
      </c>
      <c r="W25" s="43" t="str">
        <f t="shared" si="0"/>
        <v>199609</v>
      </c>
      <c r="X25" s="43" t="str">
        <f t="shared" si="0"/>
        <v>199610</v>
      </c>
      <c r="Y25" s="43" t="str">
        <f t="shared" si="0"/>
        <v>199611</v>
      </c>
      <c r="Z25" s="43" t="str">
        <f t="shared" si="0"/>
        <v>199612</v>
      </c>
    </row>
    <row r="26" spans="1:26">
      <c r="A26" s="41">
        <v>1997</v>
      </c>
      <c r="B26" s="42">
        <v>3332</v>
      </c>
      <c r="C26" s="42">
        <v>3333</v>
      </c>
      <c r="D26" s="42">
        <v>3323</v>
      </c>
      <c r="E26" s="42">
        <v>3364</v>
      </c>
      <c r="F26" s="42">
        <v>3377</v>
      </c>
      <c r="G26" s="42">
        <v>3396</v>
      </c>
      <c r="H26" s="42">
        <v>3392</v>
      </c>
      <c r="I26" s="42">
        <v>3385</v>
      </c>
      <c r="J26" s="42">
        <v>3378</v>
      </c>
      <c r="K26" s="42">
        <v>3372</v>
      </c>
      <c r="L26" s="42">
        <v>3350</v>
      </c>
      <c r="M26" s="42">
        <v>3370</v>
      </c>
      <c r="N26" s="22"/>
      <c r="O26" s="43" t="str">
        <f t="shared" si="1"/>
        <v>199701</v>
      </c>
      <c r="P26" s="43" t="str">
        <f t="shared" si="0"/>
        <v>199702</v>
      </c>
      <c r="Q26" s="43" t="str">
        <f t="shared" si="0"/>
        <v>199703</v>
      </c>
      <c r="R26" s="43" t="str">
        <f t="shared" si="0"/>
        <v>199704</v>
      </c>
      <c r="S26" s="43" t="str">
        <f t="shared" si="0"/>
        <v>199705</v>
      </c>
      <c r="T26" s="43" t="str">
        <f t="shared" si="0"/>
        <v>199706</v>
      </c>
      <c r="U26" s="43" t="str">
        <f t="shared" si="0"/>
        <v>199707</v>
      </c>
      <c r="V26" s="43" t="str">
        <f t="shared" si="0"/>
        <v>199708</v>
      </c>
      <c r="W26" s="43" t="str">
        <f t="shared" si="0"/>
        <v>199709</v>
      </c>
      <c r="X26" s="43" t="str">
        <f t="shared" si="0"/>
        <v>199710</v>
      </c>
      <c r="Y26" s="43" t="str">
        <f t="shared" si="0"/>
        <v>199711</v>
      </c>
      <c r="Z26" s="43" t="str">
        <f t="shared" si="0"/>
        <v>199712</v>
      </c>
    </row>
    <row r="27" spans="1:26">
      <c r="A27" s="41">
        <v>1998</v>
      </c>
      <c r="B27" s="42">
        <v>3363</v>
      </c>
      <c r="C27" s="42">
        <v>3372</v>
      </c>
      <c r="D27" s="42">
        <v>3368</v>
      </c>
      <c r="E27" s="42">
        <v>3375</v>
      </c>
      <c r="F27" s="42">
        <v>3374</v>
      </c>
      <c r="G27" s="42">
        <v>3379</v>
      </c>
      <c r="H27" s="42">
        <v>3382</v>
      </c>
      <c r="I27" s="42">
        <v>3391</v>
      </c>
      <c r="J27" s="42">
        <v>3414</v>
      </c>
      <c r="K27" s="42">
        <v>3423</v>
      </c>
      <c r="L27" s="42">
        <v>3424</v>
      </c>
      <c r="M27" s="42">
        <v>3419</v>
      </c>
      <c r="N27" s="22"/>
      <c r="O27" s="43" t="str">
        <f t="shared" si="1"/>
        <v>199801</v>
      </c>
      <c r="P27" s="43" t="str">
        <f t="shared" si="0"/>
        <v>199802</v>
      </c>
      <c r="Q27" s="43" t="str">
        <f t="shared" si="0"/>
        <v>199803</v>
      </c>
      <c r="R27" s="43" t="str">
        <f t="shared" si="0"/>
        <v>199804</v>
      </c>
      <c r="S27" s="43" t="str">
        <f t="shared" si="0"/>
        <v>199805</v>
      </c>
      <c r="T27" s="43" t="str">
        <f t="shared" si="0"/>
        <v>199806</v>
      </c>
      <c r="U27" s="43" t="str">
        <f t="shared" si="0"/>
        <v>199807</v>
      </c>
      <c r="V27" s="43" t="str">
        <f t="shared" si="0"/>
        <v>199808</v>
      </c>
      <c r="W27" s="43" t="str">
        <f t="shared" si="0"/>
        <v>199809</v>
      </c>
      <c r="X27" s="43" t="str">
        <f t="shared" si="0"/>
        <v>199810</v>
      </c>
      <c r="Y27" s="43" t="str">
        <f t="shared" si="0"/>
        <v>199811</v>
      </c>
      <c r="Z27" s="43" t="str">
        <f t="shared" si="0"/>
        <v>199812</v>
      </c>
    </row>
    <row r="28" spans="1:26">
      <c r="A28" s="41">
        <v>1999</v>
      </c>
      <c r="B28" s="42">
        <v>3425</v>
      </c>
      <c r="C28" s="42">
        <v>3417</v>
      </c>
      <c r="D28" s="42">
        <v>3411</v>
      </c>
      <c r="E28" s="42">
        <v>3421</v>
      </c>
      <c r="F28" s="42">
        <v>3422</v>
      </c>
      <c r="G28" s="42">
        <v>3433</v>
      </c>
      <c r="H28" s="42">
        <v>3460</v>
      </c>
      <c r="I28" s="42">
        <v>3474</v>
      </c>
      <c r="J28" s="42">
        <v>3504</v>
      </c>
      <c r="K28" s="42">
        <v>3505</v>
      </c>
      <c r="L28" s="42">
        <v>3498</v>
      </c>
      <c r="M28" s="42">
        <v>3497</v>
      </c>
      <c r="N28" s="22"/>
      <c r="O28" s="43" t="str">
        <f t="shared" si="1"/>
        <v>199901</v>
      </c>
      <c r="P28" s="43" t="str">
        <f t="shared" si="0"/>
        <v>199902</v>
      </c>
      <c r="Q28" s="43" t="str">
        <f t="shared" si="0"/>
        <v>199903</v>
      </c>
      <c r="R28" s="43" t="str">
        <f t="shared" si="0"/>
        <v>199904</v>
      </c>
      <c r="S28" s="43" t="str">
        <f t="shared" si="0"/>
        <v>199905</v>
      </c>
      <c r="T28" s="43" t="str">
        <f t="shared" si="0"/>
        <v>199906</v>
      </c>
      <c r="U28" s="43" t="str">
        <f t="shared" si="0"/>
        <v>199907</v>
      </c>
      <c r="V28" s="43" t="str">
        <f t="shared" si="0"/>
        <v>199908</v>
      </c>
      <c r="W28" s="43" t="str">
        <f t="shared" si="0"/>
        <v>199909</v>
      </c>
      <c r="X28" s="43" t="str">
        <f t="shared" si="0"/>
        <v>199910</v>
      </c>
      <c r="Y28" s="43" t="str">
        <f t="shared" si="0"/>
        <v>199911</v>
      </c>
      <c r="Z28" s="43" t="str">
        <f t="shared" si="0"/>
        <v>199912</v>
      </c>
    </row>
    <row r="29" spans="1:26">
      <c r="A29" s="41">
        <v>2000</v>
      </c>
      <c r="B29" s="42">
        <v>3503</v>
      </c>
      <c r="C29" s="42">
        <v>3523</v>
      </c>
      <c r="D29" s="42">
        <v>3536</v>
      </c>
      <c r="E29" s="42">
        <v>3534</v>
      </c>
      <c r="F29" s="42">
        <v>3558</v>
      </c>
      <c r="G29" s="42">
        <v>3553</v>
      </c>
      <c r="H29" s="42">
        <v>3545</v>
      </c>
      <c r="I29" s="42">
        <v>3546</v>
      </c>
      <c r="J29" s="42">
        <v>3539</v>
      </c>
      <c r="K29" s="42">
        <v>3547</v>
      </c>
      <c r="L29" s="42">
        <v>3541</v>
      </c>
      <c r="M29" s="42">
        <v>3548</v>
      </c>
      <c r="N29" s="22"/>
      <c r="O29" s="43" t="str">
        <f t="shared" si="1"/>
        <v>200001</v>
      </c>
      <c r="P29" s="43" t="str">
        <f t="shared" si="0"/>
        <v>200002</v>
      </c>
      <c r="Q29" s="43" t="str">
        <f t="shared" si="0"/>
        <v>200003</v>
      </c>
      <c r="R29" s="43" t="str">
        <f t="shared" si="0"/>
        <v>200004</v>
      </c>
      <c r="S29" s="43" t="str">
        <f t="shared" si="0"/>
        <v>200005</v>
      </c>
      <c r="T29" s="43" t="str">
        <f t="shared" si="0"/>
        <v>200006</v>
      </c>
      <c r="U29" s="43" t="str">
        <f t="shared" si="0"/>
        <v>200007</v>
      </c>
      <c r="V29" s="43" t="str">
        <f t="shared" si="0"/>
        <v>200008</v>
      </c>
      <c r="W29" s="43" t="str">
        <f t="shared" si="0"/>
        <v>200009</v>
      </c>
      <c r="X29" s="43" t="str">
        <f t="shared" si="0"/>
        <v>200010</v>
      </c>
      <c r="Y29" s="43" t="str">
        <f t="shared" si="0"/>
        <v>200011</v>
      </c>
      <c r="Z29" s="43" t="str">
        <f t="shared" si="0"/>
        <v>200012</v>
      </c>
    </row>
    <row r="30" spans="1:26">
      <c r="A30" s="41">
        <v>2001</v>
      </c>
      <c r="B30" s="42">
        <v>3545</v>
      </c>
      <c r="C30" s="42">
        <v>3536</v>
      </c>
      <c r="D30" s="42">
        <v>3541</v>
      </c>
      <c r="E30" s="42">
        <v>3541</v>
      </c>
      <c r="F30" s="42">
        <v>3547</v>
      </c>
      <c r="G30" s="42">
        <v>3572</v>
      </c>
      <c r="H30" s="42">
        <v>3625</v>
      </c>
      <c r="I30" s="42">
        <v>3605</v>
      </c>
      <c r="J30" s="42">
        <v>3597</v>
      </c>
      <c r="K30" s="42">
        <v>3602</v>
      </c>
      <c r="L30" s="42">
        <v>3596</v>
      </c>
      <c r="M30" s="42">
        <v>3577</v>
      </c>
      <c r="N30" s="22"/>
      <c r="O30" s="43" t="str">
        <f t="shared" si="1"/>
        <v>200101</v>
      </c>
      <c r="P30" s="43" t="str">
        <f t="shared" si="0"/>
        <v>200102</v>
      </c>
      <c r="Q30" s="43" t="str">
        <f t="shared" si="0"/>
        <v>200103</v>
      </c>
      <c r="R30" s="43" t="str">
        <f t="shared" si="0"/>
        <v>200104</v>
      </c>
      <c r="S30" s="43" t="str">
        <f t="shared" si="0"/>
        <v>200105</v>
      </c>
      <c r="T30" s="43" t="str">
        <f t="shared" si="0"/>
        <v>200106</v>
      </c>
      <c r="U30" s="43" t="str">
        <f t="shared" si="0"/>
        <v>200107</v>
      </c>
      <c r="V30" s="43" t="str">
        <f t="shared" si="0"/>
        <v>200108</v>
      </c>
      <c r="W30" s="43" t="str">
        <f t="shared" si="0"/>
        <v>200109</v>
      </c>
      <c r="X30" s="43" t="str">
        <f t="shared" si="0"/>
        <v>200110</v>
      </c>
      <c r="Y30" s="43" t="str">
        <f t="shared" si="0"/>
        <v>200111</v>
      </c>
      <c r="Z30" s="43" t="str">
        <f t="shared" si="0"/>
        <v>200112</v>
      </c>
    </row>
    <row r="31" spans="1:26">
      <c r="A31" s="41">
        <v>2002</v>
      </c>
      <c r="B31" s="42">
        <v>3581</v>
      </c>
      <c r="C31" s="42">
        <v>3581</v>
      </c>
      <c r="D31" s="42">
        <v>3597</v>
      </c>
      <c r="E31" s="42">
        <v>3583</v>
      </c>
      <c r="F31" s="42">
        <v>3612</v>
      </c>
      <c r="G31" s="42">
        <v>3624</v>
      </c>
      <c r="H31" s="42">
        <v>3652</v>
      </c>
      <c r="I31" s="42">
        <v>3648</v>
      </c>
      <c r="J31" s="42">
        <v>3655</v>
      </c>
      <c r="K31" s="42">
        <v>3651</v>
      </c>
      <c r="L31" s="42">
        <v>3654</v>
      </c>
      <c r="M31" s="42">
        <v>3640</v>
      </c>
      <c r="N31" s="22"/>
      <c r="O31" s="43" t="str">
        <f t="shared" si="1"/>
        <v>200201</v>
      </c>
      <c r="P31" s="43" t="str">
        <f t="shared" si="0"/>
        <v>200202</v>
      </c>
      <c r="Q31" s="43" t="str">
        <f t="shared" si="0"/>
        <v>200203</v>
      </c>
      <c r="R31" s="43" t="str">
        <f t="shared" si="0"/>
        <v>200204</v>
      </c>
      <c r="S31" s="43" t="str">
        <f t="shared" si="0"/>
        <v>200205</v>
      </c>
      <c r="T31" s="43" t="str">
        <f t="shared" si="0"/>
        <v>200206</v>
      </c>
      <c r="U31" s="43" t="str">
        <f t="shared" si="0"/>
        <v>200207</v>
      </c>
      <c r="V31" s="43" t="str">
        <f t="shared" si="0"/>
        <v>200208</v>
      </c>
      <c r="W31" s="43" t="str">
        <f t="shared" si="0"/>
        <v>200209</v>
      </c>
      <c r="X31" s="43" t="str">
        <f t="shared" si="0"/>
        <v>200210</v>
      </c>
      <c r="Y31" s="43" t="str">
        <f t="shared" si="0"/>
        <v>200211</v>
      </c>
      <c r="Z31" s="43" t="str">
        <f t="shared" si="0"/>
        <v>200212</v>
      </c>
    </row>
    <row r="32" spans="1:26">
      <c r="A32" s="41">
        <v>2003</v>
      </c>
      <c r="B32" s="42">
        <v>3648</v>
      </c>
      <c r="C32" s="42">
        <v>3655</v>
      </c>
      <c r="D32" s="42">
        <v>3649</v>
      </c>
      <c r="E32" s="42">
        <v>3652</v>
      </c>
      <c r="F32" s="42">
        <v>3660</v>
      </c>
      <c r="G32" s="42">
        <v>3677</v>
      </c>
      <c r="H32" s="42">
        <v>3683</v>
      </c>
      <c r="I32" s="42">
        <v>3712</v>
      </c>
      <c r="J32" s="42">
        <v>3717</v>
      </c>
      <c r="K32" s="42">
        <v>3745</v>
      </c>
      <c r="L32" s="42">
        <v>3765</v>
      </c>
      <c r="M32" s="42">
        <v>3757</v>
      </c>
      <c r="N32" s="22"/>
      <c r="O32" s="43" t="str">
        <f t="shared" si="1"/>
        <v>200301</v>
      </c>
      <c r="P32" s="43" t="str">
        <f t="shared" si="0"/>
        <v>200302</v>
      </c>
      <c r="Q32" s="43" t="str">
        <f t="shared" si="0"/>
        <v>200303</v>
      </c>
      <c r="R32" s="43" t="str">
        <f t="shared" si="0"/>
        <v>200304</v>
      </c>
      <c r="S32" s="43" t="str">
        <f t="shared" si="0"/>
        <v>200305</v>
      </c>
      <c r="T32" s="43" t="str">
        <f t="shared" si="0"/>
        <v>200306</v>
      </c>
      <c r="U32" s="43" t="str">
        <f t="shared" si="0"/>
        <v>200307</v>
      </c>
      <c r="V32" s="43" t="str">
        <f t="shared" si="0"/>
        <v>200308</v>
      </c>
      <c r="W32" s="43" t="str">
        <f t="shared" si="0"/>
        <v>200309</v>
      </c>
      <c r="X32" s="43" t="str">
        <f t="shared" si="0"/>
        <v>200310</v>
      </c>
      <c r="Y32" s="43" t="str">
        <f t="shared" si="0"/>
        <v>200311</v>
      </c>
      <c r="Z32" s="43" t="str">
        <f t="shared" si="0"/>
        <v>200312</v>
      </c>
    </row>
    <row r="33" spans="1:26">
      <c r="A33" s="41">
        <v>2004</v>
      </c>
      <c r="B33" s="42">
        <v>3767</v>
      </c>
      <c r="C33" s="42">
        <v>3802</v>
      </c>
      <c r="D33" s="42">
        <v>3859</v>
      </c>
      <c r="E33" s="42">
        <v>3908</v>
      </c>
      <c r="F33" s="42">
        <v>3956</v>
      </c>
      <c r="G33" s="42">
        <v>3996</v>
      </c>
      <c r="H33" s="42">
        <v>4013</v>
      </c>
      <c r="I33" s="42">
        <v>4027</v>
      </c>
      <c r="J33" s="42">
        <v>4102</v>
      </c>
      <c r="K33" s="42">
        <v>4129</v>
      </c>
      <c r="L33" s="42">
        <v>4128</v>
      </c>
      <c r="M33" s="42">
        <v>4123</v>
      </c>
      <c r="N33" s="22"/>
      <c r="O33" s="43" t="str">
        <f t="shared" si="1"/>
        <v>200401</v>
      </c>
      <c r="P33" s="43" t="str">
        <f t="shared" si="0"/>
        <v>200402</v>
      </c>
      <c r="Q33" s="43" t="str">
        <f t="shared" si="0"/>
        <v>200403</v>
      </c>
      <c r="R33" s="43" t="str">
        <f t="shared" si="0"/>
        <v>200404</v>
      </c>
      <c r="S33" s="43" t="str">
        <f t="shared" si="0"/>
        <v>200405</v>
      </c>
      <c r="T33" s="43" t="str">
        <f t="shared" si="0"/>
        <v>200406</v>
      </c>
      <c r="U33" s="43" t="str">
        <f t="shared" si="0"/>
        <v>200407</v>
      </c>
      <c r="V33" s="43" t="str">
        <f t="shared" si="0"/>
        <v>200408</v>
      </c>
      <c r="W33" s="43" t="str">
        <f t="shared" si="0"/>
        <v>200409</v>
      </c>
      <c r="X33" s="43" t="str">
        <f t="shared" si="0"/>
        <v>200410</v>
      </c>
      <c r="Y33" s="43" t="str">
        <f t="shared" si="0"/>
        <v>200411</v>
      </c>
      <c r="Z33" s="43" t="str">
        <f t="shared" si="0"/>
        <v>200412</v>
      </c>
    </row>
    <row r="34" spans="1:26">
      <c r="A34" s="41">
        <v>2005</v>
      </c>
      <c r="B34" s="42">
        <v>4112</v>
      </c>
      <c r="C34" s="42">
        <v>4116</v>
      </c>
      <c r="D34" s="42">
        <v>4127</v>
      </c>
      <c r="E34" s="42">
        <v>4168</v>
      </c>
      <c r="F34" s="42">
        <v>4189</v>
      </c>
      <c r="G34" s="42">
        <v>4195</v>
      </c>
      <c r="H34" s="42">
        <v>4197</v>
      </c>
      <c r="I34" s="42">
        <v>4210</v>
      </c>
      <c r="J34" s="42">
        <v>4242</v>
      </c>
      <c r="K34" s="42">
        <v>4265</v>
      </c>
      <c r="L34" s="42">
        <v>4312</v>
      </c>
      <c r="M34" s="42">
        <v>4329</v>
      </c>
      <c r="N34" s="22"/>
      <c r="O34" s="43" t="str">
        <f t="shared" si="1"/>
        <v>200501</v>
      </c>
      <c r="P34" s="43" t="str">
        <f t="shared" si="0"/>
        <v>200502</v>
      </c>
      <c r="Q34" s="43" t="str">
        <f t="shared" si="0"/>
        <v>200503</v>
      </c>
      <c r="R34" s="43" t="str">
        <f t="shared" si="0"/>
        <v>200504</v>
      </c>
      <c r="S34" s="43" t="str">
        <f t="shared" si="0"/>
        <v>200505</v>
      </c>
      <c r="T34" s="43" t="str">
        <f t="shared" si="0"/>
        <v>200506</v>
      </c>
      <c r="U34" s="43" t="str">
        <f t="shared" si="0"/>
        <v>200507</v>
      </c>
      <c r="V34" s="43" t="str">
        <f t="shared" si="0"/>
        <v>200508</v>
      </c>
      <c r="W34" s="43" t="str">
        <f t="shared" si="0"/>
        <v>200509</v>
      </c>
      <c r="X34" s="43" t="str">
        <f t="shared" si="0"/>
        <v>200510</v>
      </c>
      <c r="Y34" s="43" t="str">
        <f t="shared" si="0"/>
        <v>200511</v>
      </c>
      <c r="Z34" s="43" t="str">
        <f t="shared" si="0"/>
        <v>200512</v>
      </c>
    </row>
    <row r="35" spans="1:26">
      <c r="A35" s="41">
        <v>2006</v>
      </c>
      <c r="B35" s="42">
        <v>4335</v>
      </c>
      <c r="C35" s="42">
        <v>4337</v>
      </c>
      <c r="D35" s="42">
        <v>4330</v>
      </c>
      <c r="E35" s="42">
        <v>4335</v>
      </c>
      <c r="F35" s="42">
        <v>4331</v>
      </c>
      <c r="G35" s="42">
        <v>4340</v>
      </c>
      <c r="H35" s="42">
        <v>4356</v>
      </c>
      <c r="I35" s="42">
        <v>4359</v>
      </c>
      <c r="J35" s="42">
        <v>4375</v>
      </c>
      <c r="K35" s="42">
        <v>4431</v>
      </c>
      <c r="L35" s="42">
        <v>4462</v>
      </c>
      <c r="M35" s="42">
        <v>4441</v>
      </c>
      <c r="N35" s="22"/>
      <c r="O35" s="43" t="str">
        <f t="shared" si="1"/>
        <v>200601</v>
      </c>
      <c r="P35" s="43" t="str">
        <f t="shared" si="1"/>
        <v>200602</v>
      </c>
      <c r="Q35" s="43" t="str">
        <f t="shared" si="1"/>
        <v>200603</v>
      </c>
      <c r="R35" s="43" t="str">
        <f t="shared" si="1"/>
        <v>200604</v>
      </c>
      <c r="S35" s="43" t="str">
        <f t="shared" si="1"/>
        <v>200605</v>
      </c>
      <c r="T35" s="43" t="str">
        <f t="shared" si="1"/>
        <v>200606</v>
      </c>
      <c r="U35" s="43" t="str">
        <f t="shared" si="1"/>
        <v>200607</v>
      </c>
      <c r="V35" s="43" t="str">
        <f t="shared" si="1"/>
        <v>200608</v>
      </c>
      <c r="W35" s="43" t="str">
        <f t="shared" si="1"/>
        <v>200609</v>
      </c>
      <c r="X35" s="43" t="str">
        <f t="shared" si="1"/>
        <v>200610</v>
      </c>
      <c r="Y35" s="43" t="str">
        <f t="shared" si="1"/>
        <v>200611</v>
      </c>
      <c r="Z35" s="43" t="str">
        <f t="shared" si="1"/>
        <v>200612</v>
      </c>
    </row>
    <row r="36" spans="1:26">
      <c r="A36" s="41">
        <v>2007</v>
      </c>
      <c r="B36" s="42">
        <v>4432</v>
      </c>
      <c r="C36" s="42">
        <v>4432</v>
      </c>
      <c r="D36" s="42">
        <v>4411</v>
      </c>
      <c r="E36" s="42">
        <v>4416</v>
      </c>
      <c r="F36" s="42">
        <v>4475</v>
      </c>
      <c r="G36" s="42">
        <v>4471</v>
      </c>
      <c r="H36" s="42">
        <v>4493</v>
      </c>
      <c r="I36" s="42">
        <v>4512</v>
      </c>
      <c r="J36" s="42">
        <v>4533</v>
      </c>
      <c r="K36" s="42">
        <v>4535</v>
      </c>
      <c r="L36" s="42">
        <v>4558</v>
      </c>
      <c r="M36" s="42">
        <v>4556</v>
      </c>
      <c r="N36" s="22"/>
      <c r="O36" s="43" t="str">
        <f t="shared" si="1"/>
        <v>200701</v>
      </c>
      <c r="P36" s="43" t="str">
        <f t="shared" si="1"/>
        <v>200702</v>
      </c>
      <c r="Q36" s="43" t="str">
        <f t="shared" si="1"/>
        <v>200703</v>
      </c>
      <c r="R36" s="43" t="str">
        <f t="shared" si="1"/>
        <v>200704</v>
      </c>
      <c r="S36" s="43" t="str">
        <f t="shared" si="1"/>
        <v>200705</v>
      </c>
      <c r="T36" s="43" t="str">
        <f t="shared" si="1"/>
        <v>200706</v>
      </c>
      <c r="U36" s="43" t="str">
        <f t="shared" si="1"/>
        <v>200707</v>
      </c>
      <c r="V36" s="43" t="str">
        <f t="shared" si="1"/>
        <v>200708</v>
      </c>
      <c r="W36" s="43" t="str">
        <f t="shared" si="1"/>
        <v>200709</v>
      </c>
      <c r="X36" s="43" t="str">
        <f t="shared" si="1"/>
        <v>200710</v>
      </c>
      <c r="Y36" s="43" t="str">
        <f t="shared" si="1"/>
        <v>200711</v>
      </c>
      <c r="Z36" s="43" t="str">
        <f t="shared" si="1"/>
        <v>200712</v>
      </c>
    </row>
    <row r="37" spans="1:26">
      <c r="A37" s="41">
        <v>2008</v>
      </c>
      <c r="B37" s="42">
        <v>4557</v>
      </c>
      <c r="C37" s="42">
        <v>4556</v>
      </c>
      <c r="D37" s="42">
        <v>4571</v>
      </c>
      <c r="E37" s="42">
        <v>4574</v>
      </c>
      <c r="F37" s="42">
        <v>4599</v>
      </c>
      <c r="G37" s="42">
        <v>4640</v>
      </c>
      <c r="H37" s="42">
        <v>4723</v>
      </c>
      <c r="I37" s="42">
        <v>4733</v>
      </c>
      <c r="J37" s="42">
        <v>4827</v>
      </c>
      <c r="K37" s="42">
        <v>4867</v>
      </c>
      <c r="L37" s="42">
        <v>4847</v>
      </c>
      <c r="M37" s="42">
        <v>4797</v>
      </c>
      <c r="N37" s="22"/>
      <c r="O37" s="43" t="str">
        <f t="shared" si="1"/>
        <v>200801</v>
      </c>
      <c r="P37" s="43" t="str">
        <f t="shared" si="1"/>
        <v>200802</v>
      </c>
      <c r="Q37" s="43" t="str">
        <f t="shared" si="1"/>
        <v>200803</v>
      </c>
      <c r="R37" s="43" t="str">
        <f t="shared" si="1"/>
        <v>200804</v>
      </c>
      <c r="S37" s="43" t="str">
        <f t="shared" si="1"/>
        <v>200805</v>
      </c>
      <c r="T37" s="43" t="str">
        <f t="shared" si="1"/>
        <v>200806</v>
      </c>
      <c r="U37" s="43" t="str">
        <f t="shared" si="1"/>
        <v>200807</v>
      </c>
      <c r="V37" s="43" t="str">
        <f t="shared" si="1"/>
        <v>200808</v>
      </c>
      <c r="W37" s="43" t="str">
        <f t="shared" si="1"/>
        <v>200809</v>
      </c>
      <c r="X37" s="43" t="str">
        <f t="shared" si="1"/>
        <v>200810</v>
      </c>
      <c r="Y37" s="43" t="str">
        <f t="shared" si="1"/>
        <v>200811</v>
      </c>
      <c r="Z37" s="43" t="str">
        <f t="shared" si="1"/>
        <v>200812</v>
      </c>
    </row>
    <row r="38" spans="1:26">
      <c r="A38" s="41">
        <v>2009</v>
      </c>
      <c r="B38" s="42">
        <v>4782</v>
      </c>
      <c r="C38" s="42">
        <v>4765</v>
      </c>
      <c r="D38" s="42">
        <v>4767</v>
      </c>
      <c r="E38" s="42">
        <v>4761</v>
      </c>
      <c r="F38" s="42">
        <v>4773</v>
      </c>
      <c r="G38" s="42">
        <v>4771</v>
      </c>
      <c r="H38" s="42">
        <v>4762</v>
      </c>
      <c r="I38" s="42">
        <v>4768</v>
      </c>
      <c r="J38" s="42">
        <v>4764</v>
      </c>
      <c r="K38" s="42">
        <v>4762</v>
      </c>
      <c r="L38" s="42">
        <v>4757</v>
      </c>
      <c r="M38" s="42">
        <v>4795</v>
      </c>
      <c r="N38" s="22"/>
      <c r="O38" s="43" t="str">
        <f t="shared" si="1"/>
        <v>200901</v>
      </c>
      <c r="P38" s="43" t="str">
        <f t="shared" si="1"/>
        <v>200902</v>
      </c>
      <c r="Q38" s="43" t="str">
        <f t="shared" si="1"/>
        <v>200903</v>
      </c>
      <c r="R38" s="43" t="str">
        <f t="shared" si="1"/>
        <v>200904</v>
      </c>
      <c r="S38" s="43" t="str">
        <f t="shared" si="1"/>
        <v>200905</v>
      </c>
      <c r="T38" s="43" t="str">
        <f t="shared" si="1"/>
        <v>200906</v>
      </c>
      <c r="U38" s="43" t="str">
        <f t="shared" si="1"/>
        <v>200907</v>
      </c>
      <c r="V38" s="43" t="str">
        <f t="shared" si="1"/>
        <v>200908</v>
      </c>
      <c r="W38" s="43" t="str">
        <f t="shared" si="1"/>
        <v>200909</v>
      </c>
      <c r="X38" s="43" t="str">
        <f t="shared" si="1"/>
        <v>200910</v>
      </c>
      <c r="Y38" s="43" t="str">
        <f t="shared" si="1"/>
        <v>200911</v>
      </c>
      <c r="Z38" s="43" t="str">
        <f t="shared" si="1"/>
        <v>200912</v>
      </c>
    </row>
    <row r="39" spans="1:26">
      <c r="A39" s="41">
        <v>2010</v>
      </c>
      <c r="B39" s="42">
        <v>4800</v>
      </c>
      <c r="C39" s="42">
        <v>4812</v>
      </c>
      <c r="D39" s="42">
        <v>4811</v>
      </c>
      <c r="E39" s="42">
        <v>4817</v>
      </c>
      <c r="F39" s="42">
        <v>4858</v>
      </c>
      <c r="G39" s="42">
        <v>4888</v>
      </c>
      <c r="H39" s="42">
        <v>4910</v>
      </c>
      <c r="I39" s="42">
        <v>4905</v>
      </c>
      <c r="J39" s="42">
        <v>4910</v>
      </c>
      <c r="K39" s="42">
        <v>4947</v>
      </c>
      <c r="L39" s="42">
        <v>4968</v>
      </c>
      <c r="M39" s="42">
        <v>4970</v>
      </c>
      <c r="N39" s="22"/>
      <c r="O39" s="43" t="str">
        <f t="shared" si="1"/>
        <v>201001</v>
      </c>
      <c r="P39" s="43" t="str">
        <f t="shared" si="1"/>
        <v>201002</v>
      </c>
      <c r="Q39" s="43" t="str">
        <f t="shared" si="1"/>
        <v>201003</v>
      </c>
      <c r="R39" s="43" t="str">
        <f t="shared" si="1"/>
        <v>201004</v>
      </c>
      <c r="S39" s="43" t="str">
        <f t="shared" si="1"/>
        <v>201005</v>
      </c>
      <c r="T39" s="43" t="str">
        <f t="shared" si="1"/>
        <v>201006</v>
      </c>
      <c r="U39" s="43" t="str">
        <f t="shared" si="1"/>
        <v>201007</v>
      </c>
      <c r="V39" s="43" t="str">
        <f t="shared" si="1"/>
        <v>201008</v>
      </c>
      <c r="W39" s="43" t="str">
        <f t="shared" si="1"/>
        <v>201009</v>
      </c>
      <c r="X39" s="43" t="str">
        <f t="shared" si="1"/>
        <v>201010</v>
      </c>
      <c r="Y39" s="43" t="str">
        <f t="shared" si="1"/>
        <v>201011</v>
      </c>
      <c r="Z39" s="43" t="str">
        <f t="shared" si="1"/>
        <v>201012</v>
      </c>
    </row>
    <row r="40" spans="1:26">
      <c r="A40" s="41">
        <v>2011</v>
      </c>
      <c r="B40" s="42">
        <v>4969</v>
      </c>
      <c r="C40" s="42">
        <v>5007</v>
      </c>
      <c r="D40" s="42">
        <v>5010</v>
      </c>
      <c r="E40" s="42">
        <v>5028</v>
      </c>
      <c r="F40" s="42">
        <v>5035</v>
      </c>
      <c r="G40" s="42">
        <v>5059</v>
      </c>
      <c r="H40" s="42">
        <v>5074</v>
      </c>
      <c r="I40" s="42">
        <v>5091</v>
      </c>
      <c r="J40" s="42">
        <v>5098</v>
      </c>
      <c r="K40" s="42">
        <v>5104</v>
      </c>
      <c r="L40" s="42">
        <v>5113</v>
      </c>
      <c r="M40" s="42">
        <v>5115</v>
      </c>
      <c r="N40" s="22"/>
      <c r="O40" s="43" t="str">
        <f t="shared" si="1"/>
        <v>201101</v>
      </c>
      <c r="P40" s="43" t="str">
        <f t="shared" si="1"/>
        <v>201102</v>
      </c>
      <c r="Q40" s="43" t="str">
        <f t="shared" si="1"/>
        <v>201103</v>
      </c>
      <c r="R40" s="43" t="str">
        <f t="shared" si="1"/>
        <v>201104</v>
      </c>
      <c r="S40" s="43" t="str">
        <f t="shared" si="1"/>
        <v>201105</v>
      </c>
      <c r="T40" s="43" t="str">
        <f t="shared" si="1"/>
        <v>201106</v>
      </c>
      <c r="U40" s="43" t="str">
        <f t="shared" si="1"/>
        <v>201107</v>
      </c>
      <c r="V40" s="43" t="str">
        <f t="shared" si="1"/>
        <v>201108</v>
      </c>
      <c r="W40" s="43" t="str">
        <f t="shared" si="1"/>
        <v>201109</v>
      </c>
      <c r="X40" s="43" t="str">
        <f t="shared" si="1"/>
        <v>201110</v>
      </c>
      <c r="Y40" s="43" t="str">
        <f t="shared" si="1"/>
        <v>201111</v>
      </c>
      <c r="Z40" s="43" t="str">
        <f t="shared" si="1"/>
        <v>201112</v>
      </c>
    </row>
    <row r="41" spans="1:26">
      <c r="A41" s="41">
        <v>2012</v>
      </c>
      <c r="B41" s="42">
        <v>5120</v>
      </c>
      <c r="C41" s="42">
        <v>5122</v>
      </c>
      <c r="D41" s="42">
        <v>5144</v>
      </c>
      <c r="E41" s="42">
        <v>5150</v>
      </c>
      <c r="F41" s="42">
        <v>5167</v>
      </c>
      <c r="G41" s="42">
        <v>5170</v>
      </c>
      <c r="H41" s="42">
        <v>5184</v>
      </c>
      <c r="I41" s="42">
        <v>5204</v>
      </c>
      <c r="J41" s="42">
        <v>5195</v>
      </c>
      <c r="K41" s="42">
        <v>5204</v>
      </c>
      <c r="L41" s="42">
        <v>5213</v>
      </c>
      <c r="M41" s="42">
        <v>5210</v>
      </c>
      <c r="N41" s="22"/>
      <c r="O41" s="43" t="str">
        <f t="shared" si="1"/>
        <v>201201</v>
      </c>
      <c r="P41" s="43" t="str">
        <f t="shared" si="1"/>
        <v>201202</v>
      </c>
      <c r="Q41" s="43" t="str">
        <f t="shared" si="1"/>
        <v>201203</v>
      </c>
      <c r="R41" s="43" t="str">
        <f t="shared" si="1"/>
        <v>201204</v>
      </c>
      <c r="S41" s="43" t="str">
        <f t="shared" si="1"/>
        <v>201205</v>
      </c>
      <c r="T41" s="43" t="str">
        <f t="shared" si="1"/>
        <v>201206</v>
      </c>
      <c r="U41" s="43" t="str">
        <f t="shared" si="1"/>
        <v>201207</v>
      </c>
      <c r="V41" s="43" t="str">
        <f t="shared" si="1"/>
        <v>201208</v>
      </c>
      <c r="W41" s="43" t="str">
        <f t="shared" si="1"/>
        <v>201209</v>
      </c>
      <c r="X41" s="43" t="str">
        <f t="shared" si="1"/>
        <v>201210</v>
      </c>
      <c r="Y41" s="43" t="str">
        <f t="shared" si="1"/>
        <v>201211</v>
      </c>
      <c r="Z41" s="43" t="str">
        <f t="shared" si="1"/>
        <v>201212</v>
      </c>
    </row>
    <row r="42" spans="1:26">
      <c r="A42" s="41">
        <v>2013</v>
      </c>
      <c r="B42" s="42">
        <v>5226</v>
      </c>
      <c r="C42" s="42">
        <v>5246</v>
      </c>
      <c r="D42" s="42">
        <v>5249</v>
      </c>
      <c r="E42" s="42">
        <v>5257</v>
      </c>
      <c r="F42" s="42">
        <v>5272</v>
      </c>
      <c r="G42" s="42">
        <v>5286</v>
      </c>
      <c r="H42" s="42">
        <v>5281</v>
      </c>
      <c r="I42" s="42">
        <v>5277</v>
      </c>
      <c r="J42" s="42">
        <v>5285</v>
      </c>
      <c r="K42" s="42">
        <v>5308</v>
      </c>
      <c r="L42" s="42">
        <v>5317</v>
      </c>
      <c r="M42" s="42">
        <v>5326</v>
      </c>
      <c r="N42" s="22"/>
      <c r="O42" s="43" t="str">
        <f t="shared" si="1"/>
        <v>201301</v>
      </c>
      <c r="P42" s="43" t="str">
        <f t="shared" si="1"/>
        <v>201302</v>
      </c>
      <c r="Q42" s="43" t="str">
        <f t="shared" si="1"/>
        <v>201303</v>
      </c>
      <c r="R42" s="43" t="str">
        <f t="shared" si="1"/>
        <v>201304</v>
      </c>
      <c r="S42" s="43" t="str">
        <f t="shared" si="1"/>
        <v>201305</v>
      </c>
      <c r="T42" s="43" t="str">
        <f t="shared" si="1"/>
        <v>201306</v>
      </c>
      <c r="U42" s="43" t="str">
        <f t="shared" si="1"/>
        <v>201307</v>
      </c>
      <c r="V42" s="43" t="str">
        <f t="shared" si="1"/>
        <v>201308</v>
      </c>
      <c r="W42" s="43" t="str">
        <f t="shared" si="1"/>
        <v>201309</v>
      </c>
      <c r="X42" s="43" t="str">
        <f t="shared" si="1"/>
        <v>201310</v>
      </c>
      <c r="Y42" s="43" t="str">
        <f t="shared" si="1"/>
        <v>201311</v>
      </c>
      <c r="Z42" s="43" t="str">
        <f t="shared" si="1"/>
        <v>201312</v>
      </c>
    </row>
    <row r="43" spans="1:26">
      <c r="A43" s="41">
        <v>2014</v>
      </c>
      <c r="B43" s="42">
        <v>5324</v>
      </c>
      <c r="C43" s="42">
        <v>5321</v>
      </c>
      <c r="D43" s="42">
        <v>5336</v>
      </c>
      <c r="E43" s="42">
        <v>5357</v>
      </c>
      <c r="F43" s="42">
        <v>5370</v>
      </c>
      <c r="G43" s="42">
        <v>5375</v>
      </c>
      <c r="H43" s="42">
        <v>5383</v>
      </c>
      <c r="I43" s="42">
        <v>5390</v>
      </c>
      <c r="J43" s="42">
        <v>5409</v>
      </c>
      <c r="K43" s="42">
        <v>5442</v>
      </c>
      <c r="L43" s="42">
        <v>5468</v>
      </c>
      <c r="M43" s="42">
        <v>5480</v>
      </c>
      <c r="N43" s="22"/>
      <c r="O43" s="43" t="str">
        <f t="shared" si="1"/>
        <v>201401</v>
      </c>
      <c r="P43" s="43" t="str">
        <f t="shared" si="1"/>
        <v>201402</v>
      </c>
      <c r="Q43" s="43" t="str">
        <f t="shared" si="1"/>
        <v>201403</v>
      </c>
      <c r="R43" s="43" t="str">
        <f t="shared" si="1"/>
        <v>201404</v>
      </c>
      <c r="S43" s="43" t="str">
        <f t="shared" si="1"/>
        <v>201405</v>
      </c>
      <c r="T43" s="43" t="str">
        <f t="shared" si="1"/>
        <v>201406</v>
      </c>
      <c r="U43" s="43" t="str">
        <f t="shared" si="1"/>
        <v>201407</v>
      </c>
      <c r="V43" s="43" t="str">
        <f t="shared" si="1"/>
        <v>201408</v>
      </c>
      <c r="W43" s="43" t="str">
        <f t="shared" si="1"/>
        <v>201409</v>
      </c>
      <c r="X43" s="43" t="str">
        <f t="shared" si="1"/>
        <v>201410</v>
      </c>
      <c r="Y43" s="43" t="str">
        <f t="shared" si="1"/>
        <v>201411</v>
      </c>
      <c r="Z43" s="43" t="str">
        <f t="shared" si="1"/>
        <v>201412</v>
      </c>
    </row>
    <row r="44" spans="1:26">
      <c r="A44" s="41">
        <v>2015</v>
      </c>
      <c r="B44" s="42">
        <v>5497</v>
      </c>
      <c r="C44" s="42">
        <v>5488.1</v>
      </c>
      <c r="D44" s="42">
        <v>5487.34</v>
      </c>
      <c r="E44" s="42">
        <v>5500.82</v>
      </c>
      <c r="F44" s="42">
        <v>5490.44</v>
      </c>
      <c r="G44" s="42">
        <v>5507.38</v>
      </c>
      <c r="H44" s="42">
        <v>5510.47</v>
      </c>
      <c r="I44" s="42">
        <v>5514.7</v>
      </c>
      <c r="J44" s="42">
        <v>5541.1</v>
      </c>
      <c r="K44" s="42">
        <v>5543.93</v>
      </c>
      <c r="L44" s="42">
        <v>5563.51</v>
      </c>
      <c r="M44" s="42">
        <v>5560.64</v>
      </c>
      <c r="N44" s="22"/>
      <c r="O44" s="43" t="str">
        <f t="shared" si="1"/>
        <v>201501</v>
      </c>
      <c r="P44" s="43" t="str">
        <f t="shared" si="1"/>
        <v>201502</v>
      </c>
      <c r="Q44" s="43" t="str">
        <f t="shared" si="1"/>
        <v>201503</v>
      </c>
      <c r="R44" s="43" t="str">
        <f t="shared" si="1"/>
        <v>201504</v>
      </c>
      <c r="S44" s="43" t="str">
        <f t="shared" si="1"/>
        <v>201505</v>
      </c>
      <c r="T44" s="43" t="str">
        <f t="shared" si="1"/>
        <v>201506</v>
      </c>
      <c r="U44" s="43" t="str">
        <f t="shared" si="1"/>
        <v>201507</v>
      </c>
      <c r="V44" s="43" t="str">
        <f t="shared" si="1"/>
        <v>201508</v>
      </c>
      <c r="W44" s="43" t="str">
        <f t="shared" si="1"/>
        <v>201509</v>
      </c>
      <c r="X44" s="43" t="str">
        <f t="shared" si="1"/>
        <v>201510</v>
      </c>
      <c r="Y44" s="43" t="str">
        <f t="shared" si="1"/>
        <v>201511</v>
      </c>
      <c r="Z44" s="43" t="str">
        <f t="shared" si="1"/>
        <v>201512</v>
      </c>
    </row>
    <row r="45" spans="1:26">
      <c r="A45" s="41">
        <v>2016</v>
      </c>
      <c r="B45" s="42">
        <v>5561.76</v>
      </c>
      <c r="C45" s="42">
        <v>5588.02</v>
      </c>
      <c r="D45" s="42">
        <v>5605.55</v>
      </c>
      <c r="E45" s="42">
        <v>5632.95</v>
      </c>
      <c r="F45" s="42">
        <v>5637.09</v>
      </c>
      <c r="G45" s="42">
        <v>5636.49</v>
      </c>
      <c r="H45" s="42">
        <v>5659.51</v>
      </c>
      <c r="I45" s="42">
        <v>5669.5</v>
      </c>
      <c r="J45" s="42">
        <v>5657.28</v>
      </c>
      <c r="K45" s="42">
        <v>5681.63</v>
      </c>
      <c r="L45" s="42">
        <v>5690.35</v>
      </c>
      <c r="M45" s="42">
        <v>5722.81</v>
      </c>
      <c r="N45" s="22"/>
      <c r="O45" s="43" t="str">
        <f t="shared" si="1"/>
        <v>201601</v>
      </c>
      <c r="P45" s="43" t="str">
        <f t="shared" si="1"/>
        <v>201602</v>
      </c>
      <c r="Q45" s="43" t="str">
        <f t="shared" si="1"/>
        <v>201603</v>
      </c>
      <c r="R45" s="43" t="str">
        <f t="shared" si="1"/>
        <v>201604</v>
      </c>
      <c r="S45" s="43" t="str">
        <f t="shared" si="1"/>
        <v>201605</v>
      </c>
      <c r="T45" s="43" t="str">
        <f t="shared" si="1"/>
        <v>201606</v>
      </c>
      <c r="U45" s="43" t="str">
        <f t="shared" si="1"/>
        <v>201607</v>
      </c>
      <c r="V45" s="43" t="str">
        <f t="shared" si="1"/>
        <v>201608</v>
      </c>
      <c r="W45" s="43" t="str">
        <f t="shared" si="1"/>
        <v>201609</v>
      </c>
      <c r="X45" s="43" t="str">
        <f t="shared" si="1"/>
        <v>201610</v>
      </c>
      <c r="Y45" s="43" t="str">
        <f t="shared" si="1"/>
        <v>201611</v>
      </c>
      <c r="Z45" s="43" t="str">
        <f t="shared" si="1"/>
        <v>201612</v>
      </c>
    </row>
    <row r="46" spans="1:26">
      <c r="A46" s="41">
        <v>2017</v>
      </c>
      <c r="B46" s="42">
        <v>5733.88</v>
      </c>
      <c r="C46" s="42">
        <v>5742.06</v>
      </c>
      <c r="D46" s="42">
        <v>5789.41</v>
      </c>
      <c r="E46" s="42">
        <v>5801.76</v>
      </c>
      <c r="F46" s="42">
        <v>5815.76</v>
      </c>
      <c r="G46" s="42">
        <v>5826.4</v>
      </c>
      <c r="H46" s="42">
        <v>5844.3</v>
      </c>
      <c r="I46" s="42">
        <v>5862.24</v>
      </c>
      <c r="J46" s="42">
        <v>5872.8</v>
      </c>
      <c r="K46" s="42">
        <v>5866.92</v>
      </c>
      <c r="L46" s="42">
        <v>5901.86</v>
      </c>
      <c r="M46" s="42">
        <v>5913.81</v>
      </c>
      <c r="N46" s="22"/>
      <c r="O46" s="43" t="str">
        <f t="shared" si="1"/>
        <v>201701</v>
      </c>
      <c r="P46" s="43" t="str">
        <f t="shared" si="1"/>
        <v>201702</v>
      </c>
      <c r="Q46" s="43" t="str">
        <f t="shared" si="1"/>
        <v>201703</v>
      </c>
      <c r="R46" s="43" t="str">
        <f t="shared" si="1"/>
        <v>201704</v>
      </c>
      <c r="S46" s="43" t="str">
        <f t="shared" si="1"/>
        <v>201705</v>
      </c>
      <c r="T46" s="43" t="str">
        <f t="shared" si="1"/>
        <v>201706</v>
      </c>
      <c r="U46" s="43" t="str">
        <f t="shared" si="1"/>
        <v>201707</v>
      </c>
      <c r="V46" s="43" t="str">
        <f t="shared" si="1"/>
        <v>201708</v>
      </c>
      <c r="W46" s="43" t="str">
        <f t="shared" si="1"/>
        <v>201709</v>
      </c>
      <c r="X46" s="43" t="str">
        <f t="shared" si="1"/>
        <v>201710</v>
      </c>
      <c r="Y46" s="43" t="str">
        <f t="shared" si="1"/>
        <v>201711</v>
      </c>
      <c r="Z46" s="43" t="str">
        <f t="shared" si="1"/>
        <v>201712</v>
      </c>
    </row>
    <row r="47" spans="1:26">
      <c r="A47" s="41">
        <v>2018</v>
      </c>
      <c r="B47" s="42">
        <v>5921.32</v>
      </c>
      <c r="C47" s="42">
        <v>5932.09</v>
      </c>
      <c r="D47" s="42">
        <v>5942.13</v>
      </c>
      <c r="E47" s="42">
        <v>5954.16</v>
      </c>
      <c r="F47" s="42">
        <v>5995.06</v>
      </c>
      <c r="G47" s="42">
        <v>6004.8</v>
      </c>
      <c r="H47" s="42">
        <v>6042.91</v>
      </c>
      <c r="I47" s="42">
        <v>6060.07</v>
      </c>
      <c r="J47" s="42">
        <v>6081.34</v>
      </c>
      <c r="K47" s="42">
        <v>6092.62</v>
      </c>
      <c r="L47" s="42">
        <v>6093.13</v>
      </c>
      <c r="M47" s="42">
        <v>6105.29</v>
      </c>
      <c r="N47" s="22"/>
      <c r="O47" s="43" t="str">
        <f t="shared" si="1"/>
        <v>201801</v>
      </c>
      <c r="P47" s="43" t="str">
        <f t="shared" si="1"/>
        <v>201802</v>
      </c>
      <c r="Q47" s="43" t="str">
        <f t="shared" si="1"/>
        <v>201803</v>
      </c>
      <c r="R47" s="43" t="str">
        <f t="shared" si="1"/>
        <v>201804</v>
      </c>
      <c r="S47" s="43" t="str">
        <f t="shared" si="1"/>
        <v>201805</v>
      </c>
      <c r="T47" s="43" t="str">
        <f t="shared" si="1"/>
        <v>201806</v>
      </c>
      <c r="U47" s="43" t="str">
        <f t="shared" si="1"/>
        <v>201807</v>
      </c>
      <c r="V47" s="43" t="str">
        <f t="shared" si="1"/>
        <v>201808</v>
      </c>
      <c r="W47" s="43" t="str">
        <f t="shared" si="1"/>
        <v>201809</v>
      </c>
      <c r="X47" s="43" t="str">
        <f t="shared" si="1"/>
        <v>201810</v>
      </c>
      <c r="Y47" s="43" t="str">
        <f t="shared" si="1"/>
        <v>201811</v>
      </c>
      <c r="Z47" s="43" t="str">
        <f t="shared" si="1"/>
        <v>201812</v>
      </c>
    </row>
    <row r="48" spans="1:26">
      <c r="A48" s="41">
        <v>2019</v>
      </c>
      <c r="B48" s="42">
        <v>6107.7</v>
      </c>
      <c r="C48" s="42">
        <v>6108.09</v>
      </c>
      <c r="D48" s="42">
        <v>6109.67</v>
      </c>
      <c r="E48" s="42">
        <v>6109.83</v>
      </c>
      <c r="F48" s="42">
        <v>6111.77</v>
      </c>
      <c r="G48" s="42">
        <v>6118.34</v>
      </c>
      <c r="H48" s="42">
        <v>6131.42</v>
      </c>
      <c r="I48" s="42">
        <v>6146.81</v>
      </c>
      <c r="J48" s="42">
        <v>6146.98</v>
      </c>
      <c r="K48" s="42">
        <v>6168.75</v>
      </c>
      <c r="L48" s="42">
        <v>6179.22</v>
      </c>
      <c r="M48" s="42">
        <v>6199.11</v>
      </c>
      <c r="N48" s="22"/>
      <c r="O48" s="43" t="str">
        <f t="shared" si="1"/>
        <v>201901</v>
      </c>
      <c r="P48" s="43" t="str">
        <f t="shared" si="1"/>
        <v>201902</v>
      </c>
      <c r="Q48" s="43" t="str">
        <f t="shared" si="1"/>
        <v>201903</v>
      </c>
      <c r="R48" s="43" t="str">
        <f t="shared" si="1"/>
        <v>201904</v>
      </c>
      <c r="S48" s="43" t="str">
        <f t="shared" si="1"/>
        <v>201905</v>
      </c>
      <c r="T48" s="43" t="str">
        <f t="shared" si="1"/>
        <v>201906</v>
      </c>
      <c r="U48" s="43" t="str">
        <f t="shared" si="1"/>
        <v>201907</v>
      </c>
      <c r="V48" s="43" t="str">
        <f t="shared" si="1"/>
        <v>201908</v>
      </c>
      <c r="W48" s="43" t="str">
        <f t="shared" si="1"/>
        <v>201909</v>
      </c>
      <c r="X48" s="43" t="str">
        <f t="shared" si="1"/>
        <v>201910</v>
      </c>
      <c r="Y48" s="43" t="str">
        <f t="shared" si="1"/>
        <v>201911</v>
      </c>
      <c r="Z48" s="43" t="str">
        <f t="shared" si="1"/>
        <v>201912</v>
      </c>
    </row>
    <row r="49" spans="1:26">
      <c r="A49" s="41">
        <v>2020</v>
      </c>
      <c r="B49" s="42">
        <v>6213.68</v>
      </c>
      <c r="C49" s="42">
        <v>6217.29</v>
      </c>
      <c r="D49" s="42">
        <v>6218.26</v>
      </c>
      <c r="E49" s="42">
        <v>6233.93</v>
      </c>
      <c r="F49" s="42">
        <v>6239.42</v>
      </c>
      <c r="G49" s="42">
        <v>6246.69</v>
      </c>
      <c r="H49" s="42">
        <v>6258.19</v>
      </c>
      <c r="I49" s="42">
        <v>6267.65</v>
      </c>
      <c r="J49" s="42">
        <v>6300.3</v>
      </c>
      <c r="K49" s="42">
        <v>6343.55</v>
      </c>
      <c r="L49" s="42">
        <v>6391.74</v>
      </c>
      <c r="M49" s="42">
        <v>6445.14</v>
      </c>
      <c r="N49" s="22"/>
      <c r="O49" s="43" t="str">
        <f t="shared" si="1"/>
        <v>202001</v>
      </c>
      <c r="P49" s="43" t="str">
        <f t="shared" si="1"/>
        <v>202002</v>
      </c>
      <c r="Q49" s="43" t="str">
        <f t="shared" si="1"/>
        <v>202003</v>
      </c>
      <c r="R49" s="43" t="str">
        <f t="shared" si="1"/>
        <v>202004</v>
      </c>
      <c r="S49" s="43" t="str">
        <f t="shared" si="1"/>
        <v>202005</v>
      </c>
      <c r="T49" s="43" t="str">
        <f t="shared" si="1"/>
        <v>202006</v>
      </c>
      <c r="U49" s="43" t="str">
        <f t="shared" si="1"/>
        <v>202007</v>
      </c>
      <c r="V49" s="43" t="str">
        <f t="shared" si="1"/>
        <v>202008</v>
      </c>
      <c r="W49" s="43" t="str">
        <f t="shared" si="1"/>
        <v>202009</v>
      </c>
      <c r="X49" s="43" t="str">
        <f t="shared" si="1"/>
        <v>202010</v>
      </c>
      <c r="Y49" s="43" t="str">
        <f t="shared" si="1"/>
        <v>202011</v>
      </c>
      <c r="Z49" s="43" t="str">
        <f t="shared" si="1"/>
        <v>202012</v>
      </c>
    </row>
    <row r="50" spans="1:26">
      <c r="A50" s="41">
        <v>2021</v>
      </c>
      <c r="B50" s="42">
        <v>6459.83</v>
      </c>
      <c r="C50" s="42">
        <v>6493.19</v>
      </c>
      <c r="D50" s="42">
        <v>6545.22</v>
      </c>
      <c r="E50" s="42">
        <v>6612.5</v>
      </c>
      <c r="F50" s="42">
        <v>6754.51</v>
      </c>
      <c r="G50" s="42">
        <v>6876.96</v>
      </c>
      <c r="H50" s="42">
        <v>7006.95</v>
      </c>
      <c r="I50" s="42">
        <v>7201.88</v>
      </c>
      <c r="J50" s="42">
        <v>7214.29</v>
      </c>
      <c r="K50" s="42">
        <v>7244.9</v>
      </c>
      <c r="L50" s="42">
        <v>7255.67</v>
      </c>
      <c r="M50" s="42">
        <v>7289.5</v>
      </c>
      <c r="N50" s="22"/>
      <c r="O50" s="43" t="str">
        <f t="shared" si="1"/>
        <v>202101</v>
      </c>
      <c r="P50" s="43" t="str">
        <f t="shared" si="1"/>
        <v>202102</v>
      </c>
      <c r="Q50" s="43" t="str">
        <f t="shared" si="1"/>
        <v>202103</v>
      </c>
      <c r="R50" s="43" t="str">
        <f t="shared" si="1"/>
        <v>202104</v>
      </c>
      <c r="S50" s="43" t="str">
        <f t="shared" si="1"/>
        <v>202105</v>
      </c>
      <c r="T50" s="43" t="str">
        <f t="shared" si="1"/>
        <v>202106</v>
      </c>
      <c r="U50" s="43" t="str">
        <f t="shared" si="1"/>
        <v>202107</v>
      </c>
      <c r="V50" s="43" t="str">
        <f t="shared" si="1"/>
        <v>202108</v>
      </c>
      <c r="W50" s="43" t="str">
        <f t="shared" si="1"/>
        <v>202109</v>
      </c>
      <c r="X50" s="43" t="str">
        <f t="shared" si="1"/>
        <v>202110</v>
      </c>
      <c r="Y50" s="43" t="str">
        <f t="shared" si="1"/>
        <v>202111</v>
      </c>
      <c r="Z50" s="43" t="str">
        <f t="shared" si="1"/>
        <v>202112</v>
      </c>
    </row>
    <row r="51" spans="1:26">
      <c r="A51" s="41">
        <v>2022</v>
      </c>
      <c r="B51" s="42">
        <v>7359.09</v>
      </c>
      <c r="C51" s="42">
        <v>7457.68</v>
      </c>
      <c r="D51" s="42">
        <v>7565.14</v>
      </c>
      <c r="E51" s="42">
        <v>7677.45</v>
      </c>
      <c r="F51" s="42">
        <v>7785.64</v>
      </c>
      <c r="G51" s="42">
        <v>7889.98</v>
      </c>
      <c r="H51" s="42">
        <v>7950.39</v>
      </c>
      <c r="I51" s="42">
        <v>7952.5</v>
      </c>
      <c r="J51" s="42">
        <v>7958.27</v>
      </c>
      <c r="K51" s="42">
        <v>7965.04</v>
      </c>
      <c r="L51" s="42">
        <v>7966.9</v>
      </c>
      <c r="M51" s="42">
        <v>7971.96</v>
      </c>
      <c r="N51" s="22"/>
      <c r="O51" s="43" t="str">
        <f t="shared" si="1"/>
        <v>202201</v>
      </c>
      <c r="P51" s="43" t="str">
        <f t="shared" si="1"/>
        <v>202202</v>
      </c>
      <c r="Q51" s="43" t="str">
        <f t="shared" si="1"/>
        <v>202203</v>
      </c>
      <c r="R51" s="43" t="str">
        <f t="shared" si="1"/>
        <v>202204</v>
      </c>
      <c r="S51" s="43" t="str">
        <f t="shared" si="1"/>
        <v>202205</v>
      </c>
      <c r="T51" s="43" t="str">
        <f t="shared" si="1"/>
        <v>202206</v>
      </c>
      <c r="U51" s="43" t="str">
        <f t="shared" si="1"/>
        <v>202207</v>
      </c>
      <c r="V51" s="43" t="str">
        <f t="shared" si="1"/>
        <v>202208</v>
      </c>
      <c r="W51" s="43" t="str">
        <f t="shared" si="1"/>
        <v>202209</v>
      </c>
      <c r="X51" s="43" t="str">
        <f t="shared" si="1"/>
        <v>202210</v>
      </c>
      <c r="Y51" s="43" t="str">
        <f t="shared" si="1"/>
        <v>202211</v>
      </c>
      <c r="Z51" s="43" t="str">
        <f t="shared" si="1"/>
        <v>202212</v>
      </c>
    </row>
    <row r="52" spans="1:26">
      <c r="A52" s="41">
        <v>2023</v>
      </c>
      <c r="B52" s="70">
        <v>7976.68</v>
      </c>
      <c r="C52" s="70">
        <v>7989.84</v>
      </c>
      <c r="D52" s="70">
        <v>8000.61</v>
      </c>
      <c r="E52" s="70">
        <v>8000.86</v>
      </c>
      <c r="F52" s="70">
        <v>8054.43</v>
      </c>
      <c r="G52" s="70">
        <v>8095.33</v>
      </c>
      <c r="H52" s="70">
        <v>8179.87</v>
      </c>
      <c r="I52" s="70">
        <v>8227.44</v>
      </c>
      <c r="J52" s="70">
        <v>8240.5499999999993</v>
      </c>
      <c r="K52" s="70">
        <v>8255.58</v>
      </c>
      <c r="L52" s="70">
        <v>8268.19</v>
      </c>
      <c r="M52" s="70">
        <v>8272.36</v>
      </c>
      <c r="N52" s="22"/>
      <c r="O52" s="43" t="str">
        <f t="shared" si="1"/>
        <v>202301</v>
      </c>
      <c r="P52" s="43" t="str">
        <f t="shared" si="1"/>
        <v>202302</v>
      </c>
      <c r="Q52" s="43" t="str">
        <f t="shared" si="1"/>
        <v>202303</v>
      </c>
      <c r="R52" s="43" t="str">
        <f t="shared" si="1"/>
        <v>202304</v>
      </c>
      <c r="S52" s="43" t="str">
        <f t="shared" si="1"/>
        <v>202305</v>
      </c>
      <c r="T52" s="43" t="str">
        <f t="shared" si="1"/>
        <v>202306</v>
      </c>
      <c r="U52" s="43" t="str">
        <f t="shared" si="1"/>
        <v>202307</v>
      </c>
      <c r="V52" s="43" t="str">
        <f t="shared" si="1"/>
        <v>202308</v>
      </c>
      <c r="W52" s="43" t="str">
        <f t="shared" si="1"/>
        <v>202309</v>
      </c>
      <c r="X52" s="43" t="str">
        <f t="shared" si="1"/>
        <v>202310</v>
      </c>
      <c r="Y52" s="43" t="str">
        <f t="shared" si="1"/>
        <v>202311</v>
      </c>
      <c r="Z52" s="43" t="str">
        <f t="shared" si="1"/>
        <v>202312</v>
      </c>
    </row>
    <row r="53" spans="1:26">
      <c r="A53" s="41">
        <v>2024</v>
      </c>
      <c r="B53" s="70">
        <v>8277.69</v>
      </c>
      <c r="C53" s="70">
        <v>8288.93</v>
      </c>
      <c r="D53" s="70">
        <v>8302.7900000000009</v>
      </c>
      <c r="E53" s="70">
        <v>8305.5400000000009</v>
      </c>
      <c r="F53" s="70">
        <v>8307.7800000000007</v>
      </c>
      <c r="G53" s="70">
        <v>8322.09</v>
      </c>
      <c r="H53" s="70">
        <v>8331.36</v>
      </c>
      <c r="I53" s="70">
        <v>8378.6200000000008</v>
      </c>
      <c r="J53" s="70">
        <v>8404.89</v>
      </c>
      <c r="K53" s="70">
        <v>8404.93</v>
      </c>
      <c r="L53" s="70">
        <v>8405.0300000000007</v>
      </c>
      <c r="M53" s="70">
        <v>8407.35</v>
      </c>
      <c r="N53" s="22"/>
      <c r="O53" s="43" t="str">
        <f t="shared" si="1"/>
        <v>202401</v>
      </c>
      <c r="P53" s="43" t="str">
        <f t="shared" si="1"/>
        <v>202402</v>
      </c>
      <c r="Q53" s="43" t="str">
        <f t="shared" si="1"/>
        <v>202403</v>
      </c>
      <c r="R53" s="43" t="str">
        <f t="shared" si="1"/>
        <v>202404</v>
      </c>
      <c r="S53" s="43" t="str">
        <f t="shared" si="1"/>
        <v>202405</v>
      </c>
      <c r="T53" s="43" t="str">
        <f t="shared" si="1"/>
        <v>202406</v>
      </c>
      <c r="U53" s="43" t="str">
        <f t="shared" si="1"/>
        <v>202407</v>
      </c>
      <c r="V53" s="43" t="str">
        <f t="shared" si="1"/>
        <v>202408</v>
      </c>
      <c r="W53" s="43" t="str">
        <f t="shared" si="1"/>
        <v>202409</v>
      </c>
      <c r="X53" s="43" t="str">
        <f t="shared" si="1"/>
        <v>202410</v>
      </c>
      <c r="Y53" s="43" t="str">
        <f t="shared" si="1"/>
        <v>202411</v>
      </c>
      <c r="Z53" s="43" t="str">
        <f t="shared" si="1"/>
        <v>202412</v>
      </c>
    </row>
    <row r="54" spans="1:26">
      <c r="A54" s="41">
        <v>2025</v>
      </c>
      <c r="B54" s="70">
        <v>8407.4699999999993</v>
      </c>
      <c r="C54" s="70">
        <v>8436.93</v>
      </c>
      <c r="D54" s="70">
        <v>8437.01</v>
      </c>
      <c r="E54" s="70">
        <v>8463.02</v>
      </c>
      <c r="F54" s="70">
        <v>8520.44</v>
      </c>
      <c r="G54" s="44">
        <f t="shared" ref="D54:M67" si="2">IF(AND(T54&gt;=$B$4,T54&lt;=$C$4),(1+$B$7/12)*F54,(1+$E$7/12)*F54)</f>
        <v>8563.0421999999999</v>
      </c>
      <c r="H54" s="44">
        <f t="shared" si="2"/>
        <v>8605.857410999999</v>
      </c>
      <c r="I54" s="44">
        <f t="shared" si="2"/>
        <v>8648.8866980549974</v>
      </c>
      <c r="J54" s="44">
        <f t="shared" si="2"/>
        <v>8692.1311315452713</v>
      </c>
      <c r="K54" s="44">
        <f t="shared" si="2"/>
        <v>8735.5917872029968</v>
      </c>
      <c r="L54" s="44">
        <f t="shared" si="2"/>
        <v>8779.2697461390107</v>
      </c>
      <c r="M54" s="44">
        <f t="shared" si="2"/>
        <v>8823.1660948697045</v>
      </c>
      <c r="N54" s="22"/>
      <c r="O54" s="43" t="str">
        <f t="shared" si="1"/>
        <v>202501</v>
      </c>
      <c r="P54" s="43" t="str">
        <f t="shared" si="1"/>
        <v>202502</v>
      </c>
      <c r="Q54" s="43" t="str">
        <f t="shared" si="1"/>
        <v>202503</v>
      </c>
      <c r="R54" s="43" t="str">
        <f t="shared" si="1"/>
        <v>202504</v>
      </c>
      <c r="S54" s="43" t="str">
        <f t="shared" si="1"/>
        <v>202505</v>
      </c>
      <c r="T54" s="43" t="str">
        <f t="shared" si="1"/>
        <v>202506</v>
      </c>
      <c r="U54" s="43" t="str">
        <f t="shared" si="1"/>
        <v>202507</v>
      </c>
      <c r="V54" s="43" t="str">
        <f t="shared" si="1"/>
        <v>202508</v>
      </c>
      <c r="W54" s="43" t="str">
        <f t="shared" si="1"/>
        <v>202509</v>
      </c>
      <c r="X54" s="43" t="str">
        <f t="shared" si="1"/>
        <v>202510</v>
      </c>
      <c r="Y54" s="43" t="str">
        <f t="shared" si="1"/>
        <v>202511</v>
      </c>
      <c r="Z54" s="43" t="str">
        <f t="shared" si="1"/>
        <v>202512</v>
      </c>
    </row>
    <row r="55" spans="1:26">
      <c r="A55" s="41">
        <v>2026</v>
      </c>
      <c r="B55" s="44">
        <f t="shared" ref="B55:B99" si="3">IF(AND(O55&gt;=$B$4,O55&lt;=$C$4),(1+$B$7/12)*$M54,(1+$E$7/12)*$M54)</f>
        <v>8867.2819253440521</v>
      </c>
      <c r="C55" s="44">
        <f t="shared" ref="C55:M89" si="4">IF(AND(P55&gt;=$B$4,P55&lt;=$C$4),(1+$B$7/12)*B55,(1+$E$7/12)*B55)</f>
        <v>8911.6183349707717</v>
      </c>
      <c r="D55" s="44">
        <f t="shared" si="2"/>
        <v>8956.1764266456248</v>
      </c>
      <c r="E55" s="44">
        <f t="shared" si="2"/>
        <v>9000.9573087788522</v>
      </c>
      <c r="F55" s="44">
        <f t="shared" si="2"/>
        <v>9045.9620953227459</v>
      </c>
      <c r="G55" s="44">
        <f t="shared" si="2"/>
        <v>9091.1919057993582</v>
      </c>
      <c r="H55" s="44">
        <f t="shared" si="2"/>
        <v>9136.6478653283539</v>
      </c>
      <c r="I55" s="44">
        <f t="shared" si="2"/>
        <v>9182.3311046549952</v>
      </c>
      <c r="J55" s="44">
        <f t="shared" si="2"/>
        <v>9228.2427601782692</v>
      </c>
      <c r="K55" s="44">
        <f t="shared" si="2"/>
        <v>9274.3839739791601</v>
      </c>
      <c r="L55" s="44">
        <f t="shared" si="2"/>
        <v>9320.7558938490547</v>
      </c>
      <c r="M55" s="44">
        <f t="shared" si="2"/>
        <v>9367.3596733182985</v>
      </c>
      <c r="N55" s="22"/>
      <c r="O55" s="43" t="str">
        <f t="shared" ref="O55:Z76" si="5">$A55&amp;TEXT(B$18,"00")</f>
        <v>202601</v>
      </c>
      <c r="P55" s="43" t="str">
        <f t="shared" si="5"/>
        <v>202602</v>
      </c>
      <c r="Q55" s="43" t="str">
        <f t="shared" si="5"/>
        <v>202603</v>
      </c>
      <c r="R55" s="43" t="str">
        <f t="shared" si="5"/>
        <v>202604</v>
      </c>
      <c r="S55" s="43" t="str">
        <f t="shared" si="5"/>
        <v>202605</v>
      </c>
      <c r="T55" s="43" t="str">
        <f t="shared" si="5"/>
        <v>202606</v>
      </c>
      <c r="U55" s="43" t="str">
        <f t="shared" si="5"/>
        <v>202607</v>
      </c>
      <c r="V55" s="43" t="str">
        <f t="shared" si="5"/>
        <v>202608</v>
      </c>
      <c r="W55" s="43" t="str">
        <f t="shared" si="5"/>
        <v>202609</v>
      </c>
      <c r="X55" s="43" t="str">
        <f t="shared" si="5"/>
        <v>202610</v>
      </c>
      <c r="Y55" s="43" t="str">
        <f t="shared" si="5"/>
        <v>202611</v>
      </c>
      <c r="Z55" s="43" t="str">
        <f t="shared" si="5"/>
        <v>202612</v>
      </c>
    </row>
    <row r="56" spans="1:26">
      <c r="A56" s="41">
        <v>2027</v>
      </c>
      <c r="B56" s="44">
        <f t="shared" si="3"/>
        <v>9414.1964716848888</v>
      </c>
      <c r="C56" s="44">
        <f t="shared" si="4"/>
        <v>9461.2674540433127</v>
      </c>
      <c r="D56" s="44">
        <f t="shared" si="2"/>
        <v>9508.573791313529</v>
      </c>
      <c r="E56" s="44">
        <f t="shared" si="2"/>
        <v>9556.116660270096</v>
      </c>
      <c r="F56" s="44">
        <f t="shared" si="2"/>
        <v>9603.8972435714459</v>
      </c>
      <c r="G56" s="44">
        <f t="shared" si="2"/>
        <v>9651.9167297893018</v>
      </c>
      <c r="H56" s="44">
        <f t="shared" si="2"/>
        <v>9700.1763134382472</v>
      </c>
      <c r="I56" s="44">
        <f t="shared" si="2"/>
        <v>9748.6771950054372</v>
      </c>
      <c r="J56" s="44">
        <f t="shared" si="2"/>
        <v>9797.4205809804625</v>
      </c>
      <c r="K56" s="44">
        <f t="shared" si="2"/>
        <v>9846.4076838853634</v>
      </c>
      <c r="L56" s="44">
        <f t="shared" si="2"/>
        <v>9895.6397223047898</v>
      </c>
      <c r="M56" s="44">
        <f t="shared" si="2"/>
        <v>9945.1179209163129</v>
      </c>
      <c r="N56" s="22"/>
      <c r="O56" s="43" t="str">
        <f t="shared" si="5"/>
        <v>202701</v>
      </c>
      <c r="P56" s="43" t="str">
        <f t="shared" si="5"/>
        <v>202702</v>
      </c>
      <c r="Q56" s="43" t="str">
        <f t="shared" si="5"/>
        <v>202703</v>
      </c>
      <c r="R56" s="43" t="str">
        <f t="shared" si="5"/>
        <v>202704</v>
      </c>
      <c r="S56" s="43" t="str">
        <f t="shared" si="5"/>
        <v>202705</v>
      </c>
      <c r="T56" s="43" t="str">
        <f t="shared" si="5"/>
        <v>202706</v>
      </c>
      <c r="U56" s="43" t="str">
        <f t="shared" si="5"/>
        <v>202707</v>
      </c>
      <c r="V56" s="43" t="str">
        <f t="shared" si="5"/>
        <v>202708</v>
      </c>
      <c r="W56" s="43" t="str">
        <f t="shared" si="5"/>
        <v>202709</v>
      </c>
      <c r="X56" s="43" t="str">
        <f t="shared" si="5"/>
        <v>202710</v>
      </c>
      <c r="Y56" s="43" t="str">
        <f t="shared" si="5"/>
        <v>202711</v>
      </c>
      <c r="Z56" s="43" t="str">
        <f t="shared" si="5"/>
        <v>202712</v>
      </c>
    </row>
    <row r="57" spans="1:26">
      <c r="A57" s="41">
        <v>2028</v>
      </c>
      <c r="B57" s="44">
        <f t="shared" si="3"/>
        <v>9994.8435105208937</v>
      </c>
      <c r="C57" s="44">
        <f t="shared" si="4"/>
        <v>10044.817728073496</v>
      </c>
      <c r="D57" s="44">
        <f t="shared" si="2"/>
        <v>10095.041816713863</v>
      </c>
      <c r="E57" s="44">
        <f t="shared" si="2"/>
        <v>10145.517025797431</v>
      </c>
      <c r="F57" s="44">
        <f t="shared" si="2"/>
        <v>10196.244610926418</v>
      </c>
      <c r="G57" s="44">
        <f t="shared" si="2"/>
        <v>10247.225833981049</v>
      </c>
      <c r="H57" s="44">
        <f t="shared" si="2"/>
        <v>10298.461963150952</v>
      </c>
      <c r="I57" s="44">
        <f t="shared" si="2"/>
        <v>10349.954272966706</v>
      </c>
      <c r="J57" s="44">
        <f t="shared" si="2"/>
        <v>10401.704044331538</v>
      </c>
      <c r="K57" s="44">
        <f t="shared" si="2"/>
        <v>10453.712564553194</v>
      </c>
      <c r="L57" s="44">
        <f t="shared" si="2"/>
        <v>10505.981127375959</v>
      </c>
      <c r="M57" s="44">
        <f t="shared" si="2"/>
        <v>10558.511033012837</v>
      </c>
      <c r="N57" s="22"/>
      <c r="O57" s="43" t="str">
        <f t="shared" si="5"/>
        <v>202801</v>
      </c>
      <c r="P57" s="43" t="str">
        <f t="shared" si="5"/>
        <v>202802</v>
      </c>
      <c r="Q57" s="43" t="str">
        <f t="shared" si="5"/>
        <v>202803</v>
      </c>
      <c r="R57" s="43" t="str">
        <f t="shared" si="5"/>
        <v>202804</v>
      </c>
      <c r="S57" s="43" t="str">
        <f t="shared" si="5"/>
        <v>202805</v>
      </c>
      <c r="T57" s="43" t="str">
        <f t="shared" si="5"/>
        <v>202806</v>
      </c>
      <c r="U57" s="43" t="str">
        <f t="shared" si="5"/>
        <v>202807</v>
      </c>
      <c r="V57" s="43" t="str">
        <f t="shared" si="5"/>
        <v>202808</v>
      </c>
      <c r="W57" s="43" t="str">
        <f t="shared" si="5"/>
        <v>202809</v>
      </c>
      <c r="X57" s="43" t="str">
        <f t="shared" si="5"/>
        <v>202810</v>
      </c>
      <c r="Y57" s="43" t="str">
        <f t="shared" si="5"/>
        <v>202811</v>
      </c>
      <c r="Z57" s="43" t="str">
        <f t="shared" si="5"/>
        <v>202812</v>
      </c>
    </row>
    <row r="58" spans="1:26">
      <c r="A58" s="41">
        <v>2029</v>
      </c>
      <c r="B58" s="44">
        <f t="shared" si="3"/>
        <v>10611.3035881779</v>
      </c>
      <c r="C58" s="44">
        <f t="shared" si="4"/>
        <v>10664.360106118787</v>
      </c>
      <c r="D58" s="44">
        <f t="shared" si="2"/>
        <v>10717.681906649381</v>
      </c>
      <c r="E58" s="44">
        <f t="shared" si="2"/>
        <v>10771.270316182627</v>
      </c>
      <c r="F58" s="44">
        <f t="shared" si="2"/>
        <v>10825.126667763539</v>
      </c>
      <c r="G58" s="44">
        <f t="shared" si="2"/>
        <v>10879.252301102357</v>
      </c>
      <c r="H58" s="44">
        <f t="shared" si="2"/>
        <v>10933.648562607867</v>
      </c>
      <c r="I58" s="44">
        <f t="shared" si="2"/>
        <v>10988.316805420905</v>
      </c>
      <c r="J58" s="44">
        <f t="shared" si="2"/>
        <v>11043.258389448009</v>
      </c>
      <c r="K58" s="44">
        <f t="shared" si="2"/>
        <v>11098.474681395248</v>
      </c>
      <c r="L58" s="44">
        <f t="shared" si="2"/>
        <v>11153.967054802222</v>
      </c>
      <c r="M58" s="44">
        <f t="shared" si="2"/>
        <v>11209.736890076232</v>
      </c>
      <c r="N58" s="22"/>
      <c r="O58" s="43" t="str">
        <f t="shared" si="5"/>
        <v>202901</v>
      </c>
      <c r="P58" s="43" t="str">
        <f t="shared" si="5"/>
        <v>202902</v>
      </c>
      <c r="Q58" s="43" t="str">
        <f t="shared" si="5"/>
        <v>202903</v>
      </c>
      <c r="R58" s="43" t="str">
        <f t="shared" si="5"/>
        <v>202904</v>
      </c>
      <c r="S58" s="43" t="str">
        <f t="shared" si="5"/>
        <v>202905</v>
      </c>
      <c r="T58" s="43" t="str">
        <f t="shared" si="5"/>
        <v>202906</v>
      </c>
      <c r="U58" s="43" t="str">
        <f t="shared" si="5"/>
        <v>202907</v>
      </c>
      <c r="V58" s="43" t="str">
        <f t="shared" si="5"/>
        <v>202908</v>
      </c>
      <c r="W58" s="43" t="str">
        <f t="shared" si="5"/>
        <v>202909</v>
      </c>
      <c r="X58" s="43" t="str">
        <f t="shared" si="5"/>
        <v>202910</v>
      </c>
      <c r="Y58" s="43" t="str">
        <f t="shared" si="5"/>
        <v>202911</v>
      </c>
      <c r="Z58" s="43" t="str">
        <f t="shared" si="5"/>
        <v>202912</v>
      </c>
    </row>
    <row r="59" spans="1:26">
      <c r="A59" s="41">
        <v>2030</v>
      </c>
      <c r="B59" s="44">
        <f t="shared" si="3"/>
        <v>11265.785574526612</v>
      </c>
      <c r="C59" s="44">
        <f t="shared" si="4"/>
        <v>11322.114502399243</v>
      </c>
      <c r="D59" s="44">
        <f t="shared" si="2"/>
        <v>11378.725074911237</v>
      </c>
      <c r="E59" s="44">
        <f t="shared" si="2"/>
        <v>11435.618700285791</v>
      </c>
      <c r="F59" s="44">
        <f t="shared" si="2"/>
        <v>11492.79679378722</v>
      </c>
      <c r="G59" s="44">
        <f t="shared" si="2"/>
        <v>11550.260777756155</v>
      </c>
      <c r="H59" s="44">
        <f t="shared" si="2"/>
        <v>11608.012081644934</v>
      </c>
      <c r="I59" s="44">
        <f t="shared" si="2"/>
        <v>11666.052142053159</v>
      </c>
      <c r="J59" s="44">
        <f t="shared" si="2"/>
        <v>11724.382402763424</v>
      </c>
      <c r="K59" s="44">
        <f t="shared" si="2"/>
        <v>11783.004314777239</v>
      </c>
      <c r="L59" s="44">
        <f t="shared" si="2"/>
        <v>11841.919336351124</v>
      </c>
      <c r="M59" s="44">
        <f t="shared" si="2"/>
        <v>11901.128933032878</v>
      </c>
      <c r="N59" s="22"/>
      <c r="O59" s="43" t="str">
        <f t="shared" si="5"/>
        <v>203001</v>
      </c>
      <c r="P59" s="43" t="str">
        <f t="shared" si="5"/>
        <v>203002</v>
      </c>
      <c r="Q59" s="43" t="str">
        <f t="shared" si="5"/>
        <v>203003</v>
      </c>
      <c r="R59" s="43" t="str">
        <f t="shared" si="5"/>
        <v>203004</v>
      </c>
      <c r="S59" s="43" t="str">
        <f t="shared" si="5"/>
        <v>203005</v>
      </c>
      <c r="T59" s="43" t="str">
        <f t="shared" si="5"/>
        <v>203006</v>
      </c>
      <c r="U59" s="43" t="str">
        <f t="shared" si="5"/>
        <v>203007</v>
      </c>
      <c r="V59" s="43" t="str">
        <f t="shared" si="5"/>
        <v>203008</v>
      </c>
      <c r="W59" s="43" t="str">
        <f t="shared" si="5"/>
        <v>203009</v>
      </c>
      <c r="X59" s="43" t="str">
        <f t="shared" si="5"/>
        <v>203010</v>
      </c>
      <c r="Y59" s="43" t="str">
        <f t="shared" si="5"/>
        <v>203011</v>
      </c>
      <c r="Z59" s="43" t="str">
        <f t="shared" si="5"/>
        <v>203012</v>
      </c>
    </row>
    <row r="60" spans="1:26">
      <c r="A60" s="41">
        <v>2031</v>
      </c>
      <c r="B60" s="44">
        <f t="shared" si="3"/>
        <v>11960.634577698042</v>
      </c>
      <c r="C60" s="44">
        <f t="shared" si="4"/>
        <v>12020.43775058653</v>
      </c>
      <c r="D60" s="44">
        <f t="shared" si="2"/>
        <v>12080.539939339462</v>
      </c>
      <c r="E60" s="44">
        <f t="shared" si="2"/>
        <v>12140.942639036159</v>
      </c>
      <c r="F60" s="44">
        <f t="shared" si="2"/>
        <v>12201.647352231339</v>
      </c>
      <c r="G60" s="44">
        <f t="shared" si="2"/>
        <v>12262.655588992495</v>
      </c>
      <c r="H60" s="44">
        <f t="shared" si="2"/>
        <v>12323.968866937455</v>
      </c>
      <c r="I60" s="44">
        <f t="shared" si="2"/>
        <v>12385.588711272141</v>
      </c>
      <c r="J60" s="44">
        <f t="shared" si="2"/>
        <v>12447.5166548285</v>
      </c>
      <c r="K60" s="44">
        <f t="shared" si="2"/>
        <v>12509.754238102641</v>
      </c>
      <c r="L60" s="44">
        <f t="shared" si="2"/>
        <v>12572.303009293153</v>
      </c>
      <c r="M60" s="44">
        <f t="shared" si="2"/>
        <v>12635.164524339618</v>
      </c>
      <c r="N60" s="22"/>
      <c r="O60" s="43" t="str">
        <f t="shared" si="5"/>
        <v>203101</v>
      </c>
      <c r="P60" s="43" t="str">
        <f t="shared" si="5"/>
        <v>203102</v>
      </c>
      <c r="Q60" s="43" t="str">
        <f t="shared" si="5"/>
        <v>203103</v>
      </c>
      <c r="R60" s="43" t="str">
        <f t="shared" si="5"/>
        <v>203104</v>
      </c>
      <c r="S60" s="43" t="str">
        <f t="shared" si="5"/>
        <v>203105</v>
      </c>
      <c r="T60" s="43" t="str">
        <f t="shared" si="5"/>
        <v>203106</v>
      </c>
      <c r="U60" s="43" t="str">
        <f t="shared" si="5"/>
        <v>203107</v>
      </c>
      <c r="V60" s="43" t="str">
        <f t="shared" si="5"/>
        <v>203108</v>
      </c>
      <c r="W60" s="43" t="str">
        <f t="shared" si="5"/>
        <v>203109</v>
      </c>
      <c r="X60" s="43" t="str">
        <f t="shared" si="5"/>
        <v>203110</v>
      </c>
      <c r="Y60" s="43" t="str">
        <f t="shared" si="5"/>
        <v>203111</v>
      </c>
      <c r="Z60" s="43" t="str">
        <f t="shared" si="5"/>
        <v>203112</v>
      </c>
    </row>
    <row r="61" spans="1:26">
      <c r="A61" s="41">
        <v>2032</v>
      </c>
      <c r="B61" s="44">
        <f t="shared" si="3"/>
        <v>12698.340346961315</v>
      </c>
      <c r="C61" s="44">
        <f t="shared" si="4"/>
        <v>12761.83204869612</v>
      </c>
      <c r="D61" s="44">
        <f t="shared" si="2"/>
        <v>12825.6412089396</v>
      </c>
      <c r="E61" s="44">
        <f t="shared" si="2"/>
        <v>12889.769414984297</v>
      </c>
      <c r="F61" s="44">
        <f t="shared" si="2"/>
        <v>12954.218262059218</v>
      </c>
      <c r="G61" s="44">
        <f t="shared" si="2"/>
        <v>13018.989353369512</v>
      </c>
      <c r="H61" s="44">
        <f t="shared" si="2"/>
        <v>13084.084300136359</v>
      </c>
      <c r="I61" s="44">
        <f t="shared" si="2"/>
        <v>13149.50472163704</v>
      </c>
      <c r="J61" s="44">
        <f t="shared" si="2"/>
        <v>13215.252245245225</v>
      </c>
      <c r="K61" s="44">
        <f t="shared" si="2"/>
        <v>13281.328506471449</v>
      </c>
      <c r="L61" s="44">
        <f t="shared" si="2"/>
        <v>13347.735149003805</v>
      </c>
      <c r="M61" s="44">
        <f t="shared" si="2"/>
        <v>13414.473824748822</v>
      </c>
      <c r="N61" s="22"/>
      <c r="O61" s="43" t="str">
        <f t="shared" si="5"/>
        <v>203201</v>
      </c>
      <c r="P61" s="43" t="str">
        <f t="shared" si="5"/>
        <v>203202</v>
      </c>
      <c r="Q61" s="43" t="str">
        <f t="shared" si="5"/>
        <v>203203</v>
      </c>
      <c r="R61" s="43" t="str">
        <f t="shared" si="5"/>
        <v>203204</v>
      </c>
      <c r="S61" s="43" t="str">
        <f t="shared" si="5"/>
        <v>203205</v>
      </c>
      <c r="T61" s="43" t="str">
        <f t="shared" si="5"/>
        <v>203206</v>
      </c>
      <c r="U61" s="43" t="str">
        <f t="shared" si="5"/>
        <v>203207</v>
      </c>
      <c r="V61" s="43" t="str">
        <f t="shared" si="5"/>
        <v>203208</v>
      </c>
      <c r="W61" s="43" t="str">
        <f t="shared" si="5"/>
        <v>203209</v>
      </c>
      <c r="X61" s="43" t="str">
        <f t="shared" si="5"/>
        <v>203210</v>
      </c>
      <c r="Y61" s="43" t="str">
        <f t="shared" si="5"/>
        <v>203211</v>
      </c>
      <c r="Z61" s="43" t="str">
        <f t="shared" si="5"/>
        <v>203212</v>
      </c>
    </row>
    <row r="62" spans="1:26">
      <c r="A62" s="41">
        <v>2033</v>
      </c>
      <c r="B62" s="44">
        <f t="shared" si="3"/>
        <v>13481.546193872566</v>
      </c>
      <c r="C62" s="44">
        <f t="shared" si="4"/>
        <v>13548.953924841928</v>
      </c>
      <c r="D62" s="44">
        <f t="shared" si="2"/>
        <v>13616.698694466137</v>
      </c>
      <c r="E62" s="44">
        <f t="shared" si="2"/>
        <v>13684.782187938466</v>
      </c>
      <c r="F62" s="44">
        <f t="shared" si="2"/>
        <v>13753.206098878158</v>
      </c>
      <c r="G62" s="44">
        <f t="shared" si="2"/>
        <v>13821.972129372547</v>
      </c>
      <c r="H62" s="44">
        <f t="shared" si="2"/>
        <v>13891.081990019407</v>
      </c>
      <c r="I62" s="44">
        <f t="shared" si="2"/>
        <v>13960.537399969502</v>
      </c>
      <c r="J62" s="44">
        <f t="shared" si="2"/>
        <v>14030.340086969349</v>
      </c>
      <c r="K62" s="44">
        <f t="shared" si="2"/>
        <v>14100.491787404195</v>
      </c>
      <c r="L62" s="44">
        <f t="shared" si="2"/>
        <v>14170.994246341214</v>
      </c>
      <c r="M62" s="44">
        <f t="shared" si="2"/>
        <v>14241.849217572919</v>
      </c>
      <c r="N62" s="22"/>
      <c r="O62" s="43" t="str">
        <f t="shared" si="5"/>
        <v>203301</v>
      </c>
      <c r="P62" s="43" t="str">
        <f t="shared" si="5"/>
        <v>203302</v>
      </c>
      <c r="Q62" s="43" t="str">
        <f t="shared" si="5"/>
        <v>203303</v>
      </c>
      <c r="R62" s="43" t="str">
        <f t="shared" si="5"/>
        <v>203304</v>
      </c>
      <c r="S62" s="43" t="str">
        <f t="shared" si="5"/>
        <v>203305</v>
      </c>
      <c r="T62" s="43" t="str">
        <f t="shared" si="5"/>
        <v>203306</v>
      </c>
      <c r="U62" s="43" t="str">
        <f t="shared" si="5"/>
        <v>203307</v>
      </c>
      <c r="V62" s="43" t="str">
        <f t="shared" si="5"/>
        <v>203308</v>
      </c>
      <c r="W62" s="43" t="str">
        <f t="shared" si="5"/>
        <v>203309</v>
      </c>
      <c r="X62" s="43" t="str">
        <f t="shared" si="5"/>
        <v>203310</v>
      </c>
      <c r="Y62" s="43" t="str">
        <f t="shared" si="5"/>
        <v>203311</v>
      </c>
      <c r="Z62" s="43" t="str">
        <f t="shared" si="5"/>
        <v>203312</v>
      </c>
    </row>
    <row r="63" spans="1:26">
      <c r="A63" s="41">
        <v>2034</v>
      </c>
      <c r="B63" s="44">
        <f t="shared" si="3"/>
        <v>14313.058463660782</v>
      </c>
      <c r="C63" s="44">
        <f t="shared" si="4"/>
        <v>14384.623755979084</v>
      </c>
      <c r="D63" s="44">
        <f t="shared" si="2"/>
        <v>14456.546874758978</v>
      </c>
      <c r="E63" s="44">
        <f t="shared" si="2"/>
        <v>14528.829609132772</v>
      </c>
      <c r="F63" s="44">
        <f t="shared" si="2"/>
        <v>14601.473757178434</v>
      </c>
      <c r="G63" s="44">
        <f t="shared" si="2"/>
        <v>14674.481125964325</v>
      </c>
      <c r="H63" s="44">
        <f t="shared" si="2"/>
        <v>14747.853531594144</v>
      </c>
      <c r="I63" s="44">
        <f t="shared" si="2"/>
        <v>14821.592799252114</v>
      </c>
      <c r="J63" s="44">
        <f t="shared" si="2"/>
        <v>14895.700763248373</v>
      </c>
      <c r="K63" s="44">
        <f t="shared" si="2"/>
        <v>14970.179267064614</v>
      </c>
      <c r="L63" s="44">
        <f t="shared" si="2"/>
        <v>15045.030163399935</v>
      </c>
      <c r="M63" s="44">
        <f t="shared" si="2"/>
        <v>15120.255314216933</v>
      </c>
      <c r="N63" s="22"/>
      <c r="O63" s="43" t="str">
        <f t="shared" si="5"/>
        <v>203401</v>
      </c>
      <c r="P63" s="43" t="str">
        <f t="shared" si="5"/>
        <v>203402</v>
      </c>
      <c r="Q63" s="43" t="str">
        <f t="shared" si="5"/>
        <v>203403</v>
      </c>
      <c r="R63" s="43" t="str">
        <f t="shared" si="5"/>
        <v>203404</v>
      </c>
      <c r="S63" s="43" t="str">
        <f t="shared" si="5"/>
        <v>203405</v>
      </c>
      <c r="T63" s="43" t="str">
        <f t="shared" si="5"/>
        <v>203406</v>
      </c>
      <c r="U63" s="43" t="str">
        <f t="shared" si="5"/>
        <v>203407</v>
      </c>
      <c r="V63" s="43" t="str">
        <f t="shared" si="5"/>
        <v>203408</v>
      </c>
      <c r="W63" s="43" t="str">
        <f t="shared" si="5"/>
        <v>203409</v>
      </c>
      <c r="X63" s="43" t="str">
        <f t="shared" si="5"/>
        <v>203410</v>
      </c>
      <c r="Y63" s="43" t="str">
        <f t="shared" si="5"/>
        <v>203411</v>
      </c>
      <c r="Z63" s="43" t="str">
        <f t="shared" si="5"/>
        <v>203412</v>
      </c>
    </row>
    <row r="64" spans="1:26">
      <c r="A64" s="41">
        <v>2035</v>
      </c>
      <c r="B64" s="44">
        <f t="shared" si="3"/>
        <v>15195.856590788017</v>
      </c>
      <c r="C64" s="44">
        <f t="shared" si="4"/>
        <v>15271.835873741955</v>
      </c>
      <c r="D64" s="44">
        <f t="shared" si="2"/>
        <v>15348.195053110663</v>
      </c>
      <c r="E64" s="44">
        <f t="shared" si="2"/>
        <v>15424.936028376214</v>
      </c>
      <c r="F64" s="44">
        <f t="shared" si="2"/>
        <v>15502.060708518095</v>
      </c>
      <c r="G64" s="44">
        <f t="shared" si="2"/>
        <v>15579.571012060684</v>
      </c>
      <c r="H64" s="44">
        <f t="shared" si="2"/>
        <v>15657.468867120986</v>
      </c>
      <c r="I64" s="44">
        <f t="shared" si="2"/>
        <v>15735.75621145659</v>
      </c>
      <c r="J64" s="44">
        <f t="shared" si="2"/>
        <v>15814.43499251387</v>
      </c>
      <c r="K64" s="44">
        <f t="shared" si="2"/>
        <v>15893.507167476439</v>
      </c>
      <c r="L64" s="44">
        <f t="shared" si="2"/>
        <v>15972.974703313819</v>
      </c>
      <c r="M64" s="44">
        <f t="shared" si="2"/>
        <v>16052.839576830387</v>
      </c>
      <c r="N64" s="22"/>
      <c r="O64" s="43" t="str">
        <f t="shared" si="5"/>
        <v>203501</v>
      </c>
      <c r="P64" s="43" t="str">
        <f t="shared" si="5"/>
        <v>203502</v>
      </c>
      <c r="Q64" s="43" t="str">
        <f t="shared" si="5"/>
        <v>203503</v>
      </c>
      <c r="R64" s="43" t="str">
        <f t="shared" si="5"/>
        <v>203504</v>
      </c>
      <c r="S64" s="43" t="str">
        <f t="shared" si="5"/>
        <v>203505</v>
      </c>
      <c r="T64" s="43" t="str">
        <f t="shared" si="5"/>
        <v>203506</v>
      </c>
      <c r="U64" s="43" t="str">
        <f t="shared" si="5"/>
        <v>203507</v>
      </c>
      <c r="V64" s="43" t="str">
        <f t="shared" si="5"/>
        <v>203508</v>
      </c>
      <c r="W64" s="43" t="str">
        <f t="shared" si="5"/>
        <v>203509</v>
      </c>
      <c r="X64" s="43" t="str">
        <f t="shared" si="5"/>
        <v>203510</v>
      </c>
      <c r="Y64" s="43" t="str">
        <f t="shared" si="5"/>
        <v>203511</v>
      </c>
      <c r="Z64" s="43" t="str">
        <f t="shared" si="5"/>
        <v>203512</v>
      </c>
    </row>
    <row r="65" spans="1:26">
      <c r="A65" s="41">
        <v>2036</v>
      </c>
      <c r="B65" s="44">
        <f t="shared" si="3"/>
        <v>16133.103774714536</v>
      </c>
      <c r="C65" s="44">
        <f t="shared" si="4"/>
        <v>16213.769293588108</v>
      </c>
      <c r="D65" s="44">
        <f t="shared" si="2"/>
        <v>16294.838140056047</v>
      </c>
      <c r="E65" s="44">
        <f t="shared" si="2"/>
        <v>16376.312330756326</v>
      </c>
      <c r="F65" s="44">
        <f t="shared" si="2"/>
        <v>16458.193892410105</v>
      </c>
      <c r="G65" s="44">
        <f t="shared" si="2"/>
        <v>16540.484861872155</v>
      </c>
      <c r="H65" s="44">
        <f t="shared" si="2"/>
        <v>16623.187286181514</v>
      </c>
      <c r="I65" s="44">
        <f t="shared" si="2"/>
        <v>16706.30322261242</v>
      </c>
      <c r="J65" s="44">
        <f t="shared" si="2"/>
        <v>16789.83473872548</v>
      </c>
      <c r="K65" s="44">
        <f t="shared" si="2"/>
        <v>16873.783912419105</v>
      </c>
      <c r="L65" s="44">
        <f t="shared" si="2"/>
        <v>16958.152831981199</v>
      </c>
      <c r="M65" s="44">
        <f t="shared" si="2"/>
        <v>17042.943596141104</v>
      </c>
      <c r="N65" s="22"/>
      <c r="O65" s="43" t="str">
        <f t="shared" si="5"/>
        <v>203601</v>
      </c>
      <c r="P65" s="43" t="str">
        <f t="shared" si="5"/>
        <v>203602</v>
      </c>
      <c r="Q65" s="43" t="str">
        <f t="shared" si="5"/>
        <v>203603</v>
      </c>
      <c r="R65" s="43" t="str">
        <f t="shared" si="5"/>
        <v>203604</v>
      </c>
      <c r="S65" s="43" t="str">
        <f t="shared" si="5"/>
        <v>203605</v>
      </c>
      <c r="T65" s="43" t="str">
        <f t="shared" si="5"/>
        <v>203606</v>
      </c>
      <c r="U65" s="43" t="str">
        <f t="shared" si="5"/>
        <v>203607</v>
      </c>
      <c r="V65" s="43" t="str">
        <f t="shared" si="5"/>
        <v>203608</v>
      </c>
      <c r="W65" s="43" t="str">
        <f t="shared" si="5"/>
        <v>203609</v>
      </c>
      <c r="X65" s="43" t="str">
        <f t="shared" si="5"/>
        <v>203610</v>
      </c>
      <c r="Y65" s="43" t="str">
        <f t="shared" si="5"/>
        <v>203611</v>
      </c>
      <c r="Z65" s="43" t="str">
        <f t="shared" si="5"/>
        <v>203612</v>
      </c>
    </row>
    <row r="66" spans="1:26">
      <c r="A66" s="41">
        <v>2037</v>
      </c>
      <c r="B66" s="44">
        <f t="shared" si="3"/>
        <v>17128.158314121807</v>
      </c>
      <c r="C66" s="44">
        <f t="shared" si="4"/>
        <v>17213.799105692415</v>
      </c>
      <c r="D66" s="44">
        <f t="shared" si="2"/>
        <v>17299.868101220876</v>
      </c>
      <c r="E66" s="44">
        <f t="shared" si="2"/>
        <v>17386.367441726979</v>
      </c>
      <c r="F66" s="44">
        <f t="shared" si="2"/>
        <v>17473.299278935614</v>
      </c>
      <c r="G66" s="44">
        <f t="shared" si="2"/>
        <v>17560.66577533029</v>
      </c>
      <c r="H66" s="44">
        <f t="shared" si="2"/>
        <v>17648.469104206939</v>
      </c>
      <c r="I66" s="44">
        <f t="shared" si="2"/>
        <v>17736.711449727973</v>
      </c>
      <c r="J66" s="44">
        <f t="shared" si="2"/>
        <v>17825.395006976611</v>
      </c>
      <c r="K66" s="44">
        <f t="shared" si="2"/>
        <v>17914.521982011491</v>
      </c>
      <c r="L66" s="44">
        <f t="shared" si="2"/>
        <v>18004.094591921545</v>
      </c>
      <c r="M66" s="44">
        <f t="shared" si="2"/>
        <v>18094.115064881149</v>
      </c>
      <c r="N66" s="22"/>
      <c r="O66" s="43" t="str">
        <f t="shared" si="5"/>
        <v>203701</v>
      </c>
      <c r="P66" s="43" t="str">
        <f t="shared" si="5"/>
        <v>203702</v>
      </c>
      <c r="Q66" s="43" t="str">
        <f t="shared" si="5"/>
        <v>203703</v>
      </c>
      <c r="R66" s="43" t="str">
        <f t="shared" si="5"/>
        <v>203704</v>
      </c>
      <c r="S66" s="43" t="str">
        <f t="shared" si="5"/>
        <v>203705</v>
      </c>
      <c r="T66" s="43" t="str">
        <f t="shared" si="5"/>
        <v>203706</v>
      </c>
      <c r="U66" s="43" t="str">
        <f t="shared" si="5"/>
        <v>203707</v>
      </c>
      <c r="V66" s="43" t="str">
        <f t="shared" si="5"/>
        <v>203708</v>
      </c>
      <c r="W66" s="43" t="str">
        <f t="shared" si="5"/>
        <v>203709</v>
      </c>
      <c r="X66" s="43" t="str">
        <f t="shared" si="5"/>
        <v>203710</v>
      </c>
      <c r="Y66" s="43" t="str">
        <f t="shared" si="5"/>
        <v>203711</v>
      </c>
      <c r="Z66" s="43" t="str">
        <f t="shared" si="5"/>
        <v>203712</v>
      </c>
    </row>
    <row r="67" spans="1:26">
      <c r="A67" s="41">
        <v>2038</v>
      </c>
      <c r="B67" s="44">
        <f t="shared" si="3"/>
        <v>18184.585640205554</v>
      </c>
      <c r="C67" s="44">
        <f t="shared" si="4"/>
        <v>18275.508568406582</v>
      </c>
      <c r="D67" s="44">
        <f t="shared" si="2"/>
        <v>18366.886111248612</v>
      </c>
      <c r="E67" s="44">
        <f t="shared" si="2"/>
        <v>18458.720541804854</v>
      </c>
      <c r="F67" s="44">
        <f t="shared" si="2"/>
        <v>18551.014144513876</v>
      </c>
      <c r="G67" s="44">
        <f t="shared" si="2"/>
        <v>18643.769215236443</v>
      </c>
      <c r="H67" s="44">
        <f t="shared" si="2"/>
        <v>18736.988061312622</v>
      </c>
      <c r="I67" s="44">
        <f t="shared" si="2"/>
        <v>18830.673001619183</v>
      </c>
      <c r="J67" s="44">
        <f t="shared" si="2"/>
        <v>18924.826366627276</v>
      </c>
      <c r="K67" s="44">
        <f t="shared" si="2"/>
        <v>19019.45049846041</v>
      </c>
      <c r="L67" s="44">
        <f t="shared" si="2"/>
        <v>19114.547750952712</v>
      </c>
      <c r="M67" s="44">
        <f t="shared" si="2"/>
        <v>19210.120489707475</v>
      </c>
      <c r="N67" s="22"/>
      <c r="O67" s="43" t="str">
        <f t="shared" si="5"/>
        <v>203801</v>
      </c>
      <c r="P67" s="43" t="str">
        <f t="shared" si="5"/>
        <v>203802</v>
      </c>
      <c r="Q67" s="43" t="str">
        <f t="shared" si="5"/>
        <v>203803</v>
      </c>
      <c r="R67" s="43" t="str">
        <f t="shared" si="5"/>
        <v>203804</v>
      </c>
      <c r="S67" s="43" t="str">
        <f t="shared" si="5"/>
        <v>203805</v>
      </c>
      <c r="T67" s="43" t="str">
        <f t="shared" si="5"/>
        <v>203806</v>
      </c>
      <c r="U67" s="43" t="str">
        <f t="shared" si="5"/>
        <v>203807</v>
      </c>
      <c r="V67" s="43" t="str">
        <f t="shared" si="5"/>
        <v>203808</v>
      </c>
      <c r="W67" s="43" t="str">
        <f t="shared" si="5"/>
        <v>203809</v>
      </c>
      <c r="X67" s="43" t="str">
        <f t="shared" si="5"/>
        <v>203810</v>
      </c>
      <c r="Y67" s="43" t="str">
        <f t="shared" si="5"/>
        <v>203811</v>
      </c>
      <c r="Z67" s="43" t="str">
        <f t="shared" si="5"/>
        <v>203812</v>
      </c>
    </row>
    <row r="68" spans="1:26">
      <c r="A68" s="41">
        <v>2039</v>
      </c>
      <c r="B68" s="44">
        <f t="shared" si="3"/>
        <v>19306.171092156012</v>
      </c>
      <c r="C68" s="44">
        <f t="shared" si="4"/>
        <v>19402.701947616788</v>
      </c>
      <c r="D68" s="44">
        <f t="shared" si="4"/>
        <v>19499.715457354869</v>
      </c>
      <c r="E68" s="44">
        <f t="shared" si="4"/>
        <v>19597.214034641642</v>
      </c>
      <c r="F68" s="44">
        <f t="shared" si="4"/>
        <v>19695.200104814849</v>
      </c>
      <c r="G68" s="44">
        <f t="shared" si="4"/>
        <v>19793.67610533892</v>
      </c>
      <c r="H68" s="44">
        <f t="shared" si="4"/>
        <v>19892.644485865614</v>
      </c>
      <c r="I68" s="44">
        <f t="shared" si="4"/>
        <v>19992.107708294941</v>
      </c>
      <c r="J68" s="44">
        <f t="shared" si="4"/>
        <v>20092.068246836414</v>
      </c>
      <c r="K68" s="44">
        <f t="shared" si="4"/>
        <v>20192.528588070592</v>
      </c>
      <c r="L68" s="44">
        <f t="shared" si="4"/>
        <v>20293.491231010943</v>
      </c>
      <c r="M68" s="44">
        <f t="shared" si="4"/>
        <v>20394.958687165996</v>
      </c>
      <c r="N68" s="22"/>
      <c r="O68" s="43" t="str">
        <f t="shared" si="5"/>
        <v>203901</v>
      </c>
      <c r="P68" s="43" t="str">
        <f t="shared" si="5"/>
        <v>203902</v>
      </c>
      <c r="Q68" s="43" t="str">
        <f t="shared" si="5"/>
        <v>203903</v>
      </c>
      <c r="R68" s="43" t="str">
        <f t="shared" si="5"/>
        <v>203904</v>
      </c>
      <c r="S68" s="43" t="str">
        <f t="shared" si="5"/>
        <v>203905</v>
      </c>
      <c r="T68" s="43" t="str">
        <f t="shared" si="5"/>
        <v>203906</v>
      </c>
      <c r="U68" s="43" t="str">
        <f t="shared" si="5"/>
        <v>203907</v>
      </c>
      <c r="V68" s="43" t="str">
        <f t="shared" si="5"/>
        <v>203908</v>
      </c>
      <c r="W68" s="43" t="str">
        <f t="shared" si="5"/>
        <v>203909</v>
      </c>
      <c r="X68" s="43" t="str">
        <f t="shared" si="5"/>
        <v>203910</v>
      </c>
      <c r="Y68" s="43" t="str">
        <f t="shared" si="5"/>
        <v>203911</v>
      </c>
      <c r="Z68" s="43" t="str">
        <f t="shared" si="5"/>
        <v>203912</v>
      </c>
    </row>
    <row r="69" spans="1:26">
      <c r="A69" s="41">
        <v>2040</v>
      </c>
      <c r="B69" s="44">
        <f t="shared" si="3"/>
        <v>20496.933480601823</v>
      </c>
      <c r="C69" s="44">
        <f t="shared" si="4"/>
        <v>20599.418148004832</v>
      </c>
      <c r="D69" s="44">
        <f t="shared" si="4"/>
        <v>20702.415238744852</v>
      </c>
      <c r="E69" s="44">
        <f t="shared" si="4"/>
        <v>20805.927314938574</v>
      </c>
      <c r="F69" s="44">
        <f t="shared" si="4"/>
        <v>20909.956951513264</v>
      </c>
      <c r="G69" s="44">
        <f t="shared" si="4"/>
        <v>21014.506736270829</v>
      </c>
      <c r="H69" s="44">
        <f t="shared" si="4"/>
        <v>21119.579269952181</v>
      </c>
      <c r="I69" s="44">
        <f t="shared" si="4"/>
        <v>21225.177166301939</v>
      </c>
      <c r="J69" s="44">
        <f t="shared" si="4"/>
        <v>21331.303052133448</v>
      </c>
      <c r="K69" s="44">
        <f t="shared" si="4"/>
        <v>21437.959567394111</v>
      </c>
      <c r="L69" s="44">
        <f t="shared" si="4"/>
        <v>21545.149365231078</v>
      </c>
      <c r="M69" s="44">
        <f t="shared" si="4"/>
        <v>21652.875112057231</v>
      </c>
      <c r="N69" s="22"/>
      <c r="O69" s="43" t="str">
        <f t="shared" si="5"/>
        <v>204001</v>
      </c>
      <c r="P69" s="43" t="str">
        <f t="shared" si="5"/>
        <v>204002</v>
      </c>
      <c r="Q69" s="43" t="str">
        <f t="shared" si="5"/>
        <v>204003</v>
      </c>
      <c r="R69" s="43" t="str">
        <f t="shared" si="5"/>
        <v>204004</v>
      </c>
      <c r="S69" s="43" t="str">
        <f t="shared" si="5"/>
        <v>204005</v>
      </c>
      <c r="T69" s="43" t="str">
        <f t="shared" si="5"/>
        <v>204006</v>
      </c>
      <c r="U69" s="43" t="str">
        <f t="shared" si="5"/>
        <v>204007</v>
      </c>
      <c r="V69" s="43" t="str">
        <f t="shared" si="5"/>
        <v>204008</v>
      </c>
      <c r="W69" s="43" t="str">
        <f t="shared" si="5"/>
        <v>204009</v>
      </c>
      <c r="X69" s="43" t="str">
        <f t="shared" si="5"/>
        <v>204010</v>
      </c>
      <c r="Y69" s="43" t="str">
        <f t="shared" si="5"/>
        <v>204011</v>
      </c>
      <c r="Z69" s="43" t="str">
        <f t="shared" si="5"/>
        <v>204012</v>
      </c>
    </row>
    <row r="70" spans="1:26">
      <c r="A70" s="41">
        <v>2041</v>
      </c>
      <c r="B70" s="44">
        <f t="shared" si="3"/>
        <v>21761.139487617515</v>
      </c>
      <c r="C70" s="44">
        <f t="shared" si="4"/>
        <v>21869.9451850556</v>
      </c>
      <c r="D70" s="44">
        <f t="shared" si="4"/>
        <v>21979.294910980876</v>
      </c>
      <c r="E70" s="44">
        <f t="shared" si="4"/>
        <v>22089.191385535778</v>
      </c>
      <c r="F70" s="44">
        <f t="shared" si="4"/>
        <v>22199.637342463455</v>
      </c>
      <c r="G70" s="44">
        <f t="shared" si="4"/>
        <v>22310.635529175768</v>
      </c>
      <c r="H70" s="44">
        <f t="shared" si="4"/>
        <v>22422.188706821646</v>
      </c>
      <c r="I70" s="44">
        <f t="shared" si="4"/>
        <v>22534.299650355752</v>
      </c>
      <c r="J70" s="44">
        <f t="shared" si="4"/>
        <v>22646.971148607528</v>
      </c>
      <c r="K70" s="44">
        <f t="shared" si="4"/>
        <v>22760.206004350563</v>
      </c>
      <c r="L70" s="44">
        <f t="shared" si="4"/>
        <v>22874.007034372313</v>
      </c>
      <c r="M70" s="44">
        <f t="shared" si="4"/>
        <v>22988.377069544171</v>
      </c>
      <c r="N70" s="22"/>
      <c r="O70" s="43" t="str">
        <f t="shared" si="5"/>
        <v>204101</v>
      </c>
      <c r="P70" s="43" t="str">
        <f t="shared" si="5"/>
        <v>204102</v>
      </c>
      <c r="Q70" s="43" t="str">
        <f t="shared" si="5"/>
        <v>204103</v>
      </c>
      <c r="R70" s="43" t="str">
        <f t="shared" si="5"/>
        <v>204104</v>
      </c>
      <c r="S70" s="43" t="str">
        <f t="shared" si="5"/>
        <v>204105</v>
      </c>
      <c r="T70" s="43" t="str">
        <f t="shared" si="5"/>
        <v>204106</v>
      </c>
      <c r="U70" s="43" t="str">
        <f t="shared" si="5"/>
        <v>204107</v>
      </c>
      <c r="V70" s="43" t="str">
        <f t="shared" si="5"/>
        <v>204108</v>
      </c>
      <c r="W70" s="43" t="str">
        <f t="shared" si="5"/>
        <v>204109</v>
      </c>
      <c r="X70" s="43" t="str">
        <f t="shared" si="5"/>
        <v>204110</v>
      </c>
      <c r="Y70" s="43" t="str">
        <f t="shared" si="5"/>
        <v>204111</v>
      </c>
      <c r="Z70" s="43" t="str">
        <f t="shared" si="5"/>
        <v>204112</v>
      </c>
    </row>
    <row r="71" spans="1:26">
      <c r="A71" s="41">
        <v>2042</v>
      </c>
      <c r="B71" s="44">
        <f t="shared" si="3"/>
        <v>23103.318954891889</v>
      </c>
      <c r="C71" s="44">
        <f t="shared" si="4"/>
        <v>23218.835549666346</v>
      </c>
      <c r="D71" s="44">
        <f t="shared" si="4"/>
        <v>23334.929727414674</v>
      </c>
      <c r="E71" s="44">
        <f t="shared" si="4"/>
        <v>23451.604376051746</v>
      </c>
      <c r="F71" s="44">
        <f t="shared" si="4"/>
        <v>23568.862397932004</v>
      </c>
      <c r="G71" s="44">
        <f t="shared" si="4"/>
        <v>23686.706709921662</v>
      </c>
      <c r="H71" s="44">
        <f t="shared" si="4"/>
        <v>23805.140243471269</v>
      </c>
      <c r="I71" s="44">
        <f t="shared" si="4"/>
        <v>23924.165944688622</v>
      </c>
      <c r="J71" s="44">
        <f t="shared" si="4"/>
        <v>24043.786774412063</v>
      </c>
      <c r="K71" s="44">
        <f t="shared" si="4"/>
        <v>24164.005708284119</v>
      </c>
      <c r="L71" s="44">
        <f t="shared" si="4"/>
        <v>24284.825736825536</v>
      </c>
      <c r="M71" s="44">
        <f t="shared" si="4"/>
        <v>24406.249865509661</v>
      </c>
      <c r="N71" s="22"/>
      <c r="O71" s="43" t="str">
        <f t="shared" si="5"/>
        <v>204201</v>
      </c>
      <c r="P71" s="43" t="str">
        <f t="shared" si="5"/>
        <v>204202</v>
      </c>
      <c r="Q71" s="43" t="str">
        <f t="shared" si="5"/>
        <v>204203</v>
      </c>
      <c r="R71" s="43" t="str">
        <f t="shared" si="5"/>
        <v>204204</v>
      </c>
      <c r="S71" s="43" t="str">
        <f t="shared" si="5"/>
        <v>204205</v>
      </c>
      <c r="T71" s="43" t="str">
        <f t="shared" si="5"/>
        <v>204206</v>
      </c>
      <c r="U71" s="43" t="str">
        <f t="shared" si="5"/>
        <v>204207</v>
      </c>
      <c r="V71" s="43" t="str">
        <f t="shared" si="5"/>
        <v>204208</v>
      </c>
      <c r="W71" s="43" t="str">
        <f t="shared" si="5"/>
        <v>204209</v>
      </c>
      <c r="X71" s="43" t="str">
        <f t="shared" si="5"/>
        <v>204210</v>
      </c>
      <c r="Y71" s="43" t="str">
        <f t="shared" si="5"/>
        <v>204211</v>
      </c>
      <c r="Z71" s="43" t="str">
        <f t="shared" si="5"/>
        <v>204212</v>
      </c>
    </row>
    <row r="72" spans="1:26">
      <c r="A72" s="41">
        <v>2043</v>
      </c>
      <c r="B72" s="44">
        <f t="shared" si="3"/>
        <v>24528.281114837206</v>
      </c>
      <c r="C72" s="44">
        <f t="shared" si="4"/>
        <v>24650.92252041139</v>
      </c>
      <c r="D72" s="44">
        <f t="shared" si="4"/>
        <v>24774.177133013443</v>
      </c>
      <c r="E72" s="44">
        <f t="shared" si="4"/>
        <v>24898.048018678506</v>
      </c>
      <c r="F72" s="44">
        <f t="shared" si="4"/>
        <v>25022.538258771896</v>
      </c>
      <c r="G72" s="44">
        <f t="shared" si="4"/>
        <v>25147.650950065752</v>
      </c>
      <c r="H72" s="44">
        <f t="shared" si="4"/>
        <v>25273.389204816078</v>
      </c>
      <c r="I72" s="44">
        <f t="shared" si="4"/>
        <v>25399.756150840156</v>
      </c>
      <c r="J72" s="44">
        <f t="shared" si="4"/>
        <v>25526.754931594354</v>
      </c>
      <c r="K72" s="44">
        <f t="shared" si="4"/>
        <v>25654.388706252324</v>
      </c>
      <c r="L72" s="44">
        <f t="shared" si="4"/>
        <v>25782.660649783582</v>
      </c>
      <c r="M72" s="44">
        <f t="shared" si="4"/>
        <v>25911.573953032497</v>
      </c>
      <c r="N72" s="22"/>
      <c r="O72" s="43" t="str">
        <f t="shared" si="5"/>
        <v>204301</v>
      </c>
      <c r="P72" s="43" t="str">
        <f t="shared" si="5"/>
        <v>204302</v>
      </c>
      <c r="Q72" s="43" t="str">
        <f t="shared" si="5"/>
        <v>204303</v>
      </c>
      <c r="R72" s="43" t="str">
        <f t="shared" si="5"/>
        <v>204304</v>
      </c>
      <c r="S72" s="43" t="str">
        <f t="shared" si="5"/>
        <v>204305</v>
      </c>
      <c r="T72" s="43" t="str">
        <f t="shared" si="5"/>
        <v>204306</v>
      </c>
      <c r="U72" s="43" t="str">
        <f t="shared" si="5"/>
        <v>204307</v>
      </c>
      <c r="V72" s="43" t="str">
        <f t="shared" si="5"/>
        <v>204308</v>
      </c>
      <c r="W72" s="43" t="str">
        <f t="shared" si="5"/>
        <v>204309</v>
      </c>
      <c r="X72" s="43" t="str">
        <f t="shared" si="5"/>
        <v>204310</v>
      </c>
      <c r="Y72" s="43" t="str">
        <f t="shared" si="5"/>
        <v>204311</v>
      </c>
      <c r="Z72" s="43" t="str">
        <f t="shared" si="5"/>
        <v>204312</v>
      </c>
    </row>
    <row r="73" spans="1:26">
      <c r="A73" s="41">
        <v>2044</v>
      </c>
      <c r="B73" s="44">
        <f t="shared" si="3"/>
        <v>26041.131822797655</v>
      </c>
      <c r="C73" s="44">
        <f t="shared" si="4"/>
        <v>26171.33748191164</v>
      </c>
      <c r="D73" s="44">
        <f t="shared" si="4"/>
        <v>26302.194169321196</v>
      </c>
      <c r="E73" s="44">
        <f t="shared" si="4"/>
        <v>26433.7051401678</v>
      </c>
      <c r="F73" s="44">
        <f t="shared" si="4"/>
        <v>26565.873665868636</v>
      </c>
      <c r="G73" s="44">
        <f t="shared" si="4"/>
        <v>26698.703034197977</v>
      </c>
      <c r="H73" s="44">
        <f t="shared" si="4"/>
        <v>26832.196549368964</v>
      </c>
      <c r="I73" s="44">
        <f t="shared" si="4"/>
        <v>26966.357532115806</v>
      </c>
      <c r="J73" s="44">
        <f t="shared" si="4"/>
        <v>27101.189319776382</v>
      </c>
      <c r="K73" s="44">
        <f t="shared" si="4"/>
        <v>27236.69526637526</v>
      </c>
      <c r="L73" s="44">
        <f t="shared" si="4"/>
        <v>27372.878742707133</v>
      </c>
      <c r="M73" s="44">
        <f t="shared" si="4"/>
        <v>27509.743136420664</v>
      </c>
      <c r="N73" s="22"/>
      <c r="O73" s="43" t="str">
        <f t="shared" si="5"/>
        <v>204401</v>
      </c>
      <c r="P73" s="43" t="str">
        <f t="shared" si="5"/>
        <v>204402</v>
      </c>
      <c r="Q73" s="43" t="str">
        <f t="shared" si="5"/>
        <v>204403</v>
      </c>
      <c r="R73" s="43" t="str">
        <f t="shared" si="5"/>
        <v>204404</v>
      </c>
      <c r="S73" s="43" t="str">
        <f t="shared" si="5"/>
        <v>204405</v>
      </c>
      <c r="T73" s="43" t="str">
        <f t="shared" si="5"/>
        <v>204406</v>
      </c>
      <c r="U73" s="43" t="str">
        <f t="shared" si="5"/>
        <v>204407</v>
      </c>
      <c r="V73" s="43" t="str">
        <f t="shared" si="5"/>
        <v>204408</v>
      </c>
      <c r="W73" s="43" t="str">
        <f t="shared" si="5"/>
        <v>204409</v>
      </c>
      <c r="X73" s="43" t="str">
        <f t="shared" si="5"/>
        <v>204410</v>
      </c>
      <c r="Y73" s="43" t="str">
        <f t="shared" si="5"/>
        <v>204411</v>
      </c>
      <c r="Z73" s="43" t="str">
        <f t="shared" si="5"/>
        <v>204412</v>
      </c>
    </row>
    <row r="74" spans="1:26">
      <c r="A74" s="41">
        <v>2045</v>
      </c>
      <c r="B74" s="44">
        <f t="shared" si="3"/>
        <v>27647.291852102764</v>
      </c>
      <c r="C74" s="44">
        <f t="shared" si="4"/>
        <v>27785.528311363276</v>
      </c>
      <c r="D74" s="44">
        <f t="shared" si="4"/>
        <v>27924.455952920089</v>
      </c>
      <c r="E74" s="44">
        <f t="shared" si="4"/>
        <v>28064.078232684686</v>
      </c>
      <c r="F74" s="44">
        <f t="shared" si="4"/>
        <v>28204.398623848105</v>
      </c>
      <c r="G74" s="44">
        <f t="shared" si="4"/>
        <v>28345.420616967342</v>
      </c>
      <c r="H74" s="44">
        <f t="shared" si="4"/>
        <v>28487.147720052177</v>
      </c>
      <c r="I74" s="44">
        <f t="shared" si="4"/>
        <v>28629.583458652436</v>
      </c>
      <c r="J74" s="44">
        <f t="shared" si="4"/>
        <v>28772.731375945696</v>
      </c>
      <c r="K74" s="44">
        <f t="shared" si="4"/>
        <v>28916.595032825422</v>
      </c>
      <c r="L74" s="44">
        <f t="shared" si="4"/>
        <v>29061.178007989547</v>
      </c>
      <c r="M74" s="44">
        <f t="shared" si="4"/>
        <v>29206.483898029492</v>
      </c>
      <c r="N74" s="22"/>
      <c r="O74" s="43" t="str">
        <f t="shared" si="5"/>
        <v>204501</v>
      </c>
      <c r="P74" s="43" t="str">
        <f t="shared" si="5"/>
        <v>204502</v>
      </c>
      <c r="Q74" s="43" t="str">
        <f t="shared" si="5"/>
        <v>204503</v>
      </c>
      <c r="R74" s="43" t="str">
        <f t="shared" si="5"/>
        <v>204504</v>
      </c>
      <c r="S74" s="43" t="str">
        <f t="shared" si="5"/>
        <v>204505</v>
      </c>
      <c r="T74" s="43" t="str">
        <f t="shared" si="5"/>
        <v>204506</v>
      </c>
      <c r="U74" s="43" t="str">
        <f t="shared" si="5"/>
        <v>204507</v>
      </c>
      <c r="V74" s="43" t="str">
        <f t="shared" si="5"/>
        <v>204508</v>
      </c>
      <c r="W74" s="43" t="str">
        <f t="shared" si="5"/>
        <v>204509</v>
      </c>
      <c r="X74" s="43" t="str">
        <f t="shared" si="5"/>
        <v>204510</v>
      </c>
      <c r="Y74" s="43" t="str">
        <f t="shared" si="5"/>
        <v>204511</v>
      </c>
      <c r="Z74" s="43" t="str">
        <f t="shared" si="5"/>
        <v>204512</v>
      </c>
    </row>
    <row r="75" spans="1:26">
      <c r="A75" s="41">
        <v>2046</v>
      </c>
      <c r="B75" s="44">
        <f t="shared" si="3"/>
        <v>29352.516317519636</v>
      </c>
      <c r="C75" s="44">
        <f t="shared" si="4"/>
        <v>29499.27889910723</v>
      </c>
      <c r="D75" s="44">
        <f t="shared" si="4"/>
        <v>29646.775293602765</v>
      </c>
      <c r="E75" s="44">
        <f t="shared" si="4"/>
        <v>29795.009170070774</v>
      </c>
      <c r="F75" s="44">
        <f t="shared" si="4"/>
        <v>29943.984215921126</v>
      </c>
      <c r="G75" s="44">
        <f t="shared" si="4"/>
        <v>30093.704137000728</v>
      </c>
      <c r="H75" s="44">
        <f t="shared" si="4"/>
        <v>30244.172657685729</v>
      </c>
      <c r="I75" s="44">
        <f t="shared" si="4"/>
        <v>30395.393520974154</v>
      </c>
      <c r="J75" s="44">
        <f t="shared" si="4"/>
        <v>30547.370488579021</v>
      </c>
      <c r="K75" s="44">
        <f t="shared" si="4"/>
        <v>30700.107341021914</v>
      </c>
      <c r="L75" s="44">
        <f t="shared" si="4"/>
        <v>30853.60787772702</v>
      </c>
      <c r="M75" s="44">
        <f t="shared" si="4"/>
        <v>31007.875917115653</v>
      </c>
      <c r="N75" s="22"/>
      <c r="O75" s="43" t="str">
        <f t="shared" si="5"/>
        <v>204601</v>
      </c>
      <c r="P75" s="43" t="str">
        <f t="shared" si="5"/>
        <v>204602</v>
      </c>
      <c r="Q75" s="43" t="str">
        <f t="shared" si="5"/>
        <v>204603</v>
      </c>
      <c r="R75" s="43" t="str">
        <f t="shared" si="5"/>
        <v>204604</v>
      </c>
      <c r="S75" s="43" t="str">
        <f t="shared" si="5"/>
        <v>204605</v>
      </c>
      <c r="T75" s="43" t="str">
        <f t="shared" si="5"/>
        <v>204606</v>
      </c>
      <c r="U75" s="43" t="str">
        <f t="shared" si="5"/>
        <v>204607</v>
      </c>
      <c r="V75" s="43" t="str">
        <f t="shared" si="5"/>
        <v>204608</v>
      </c>
      <c r="W75" s="43" t="str">
        <f t="shared" si="5"/>
        <v>204609</v>
      </c>
      <c r="X75" s="43" t="str">
        <f t="shared" si="5"/>
        <v>204610</v>
      </c>
      <c r="Y75" s="43" t="str">
        <f t="shared" si="5"/>
        <v>204611</v>
      </c>
      <c r="Z75" s="43" t="str">
        <f t="shared" si="5"/>
        <v>204612</v>
      </c>
    </row>
    <row r="76" spans="1:26">
      <c r="A76" s="41">
        <v>2047</v>
      </c>
      <c r="B76" s="44">
        <f t="shared" si="3"/>
        <v>31162.915296701227</v>
      </c>
      <c r="C76" s="44">
        <f t="shared" si="4"/>
        <v>31318.72987318473</v>
      </c>
      <c r="D76" s="44">
        <f t="shared" si="4"/>
        <v>31475.323522550651</v>
      </c>
      <c r="E76" s="44">
        <f t="shared" si="4"/>
        <v>31632.700140163401</v>
      </c>
      <c r="F76" s="44">
        <f t="shared" si="4"/>
        <v>31790.863640864216</v>
      </c>
      <c r="G76" s="44">
        <f t="shared" si="4"/>
        <v>31949.817959068532</v>
      </c>
      <c r="H76" s="44">
        <f t="shared" si="4"/>
        <v>32109.567048863872</v>
      </c>
      <c r="I76" s="44">
        <f t="shared" si="4"/>
        <v>32270.114884108189</v>
      </c>
      <c r="J76" s="44">
        <f t="shared" si="4"/>
        <v>32431.465458528724</v>
      </c>
      <c r="K76" s="44">
        <f t="shared" si="4"/>
        <v>32593.622785821364</v>
      </c>
      <c r="L76" s="44">
        <f t="shared" si="4"/>
        <v>32756.590899750467</v>
      </c>
      <c r="M76" s="44">
        <f t="shared" si="4"/>
        <v>32920.373854249214</v>
      </c>
      <c r="N76" s="22"/>
      <c r="O76" s="43" t="str">
        <f t="shared" si="5"/>
        <v>204701</v>
      </c>
      <c r="P76" s="43" t="str">
        <f t="shared" si="5"/>
        <v>204702</v>
      </c>
      <c r="Q76" s="43" t="str">
        <f t="shared" si="5"/>
        <v>204703</v>
      </c>
      <c r="R76" s="43" t="str">
        <f t="shared" ref="R76:Z99" si="6">$A76&amp;TEXT(E$18,"00")</f>
        <v>204704</v>
      </c>
      <c r="S76" s="43" t="str">
        <f t="shared" si="6"/>
        <v>204705</v>
      </c>
      <c r="T76" s="43" t="str">
        <f t="shared" si="6"/>
        <v>204706</v>
      </c>
      <c r="U76" s="43" t="str">
        <f t="shared" si="6"/>
        <v>204707</v>
      </c>
      <c r="V76" s="43" t="str">
        <f t="shared" si="6"/>
        <v>204708</v>
      </c>
      <c r="W76" s="43" t="str">
        <f t="shared" si="6"/>
        <v>204709</v>
      </c>
      <c r="X76" s="43" t="str">
        <f t="shared" si="6"/>
        <v>204710</v>
      </c>
      <c r="Y76" s="43" t="str">
        <f t="shared" si="6"/>
        <v>204711</v>
      </c>
      <c r="Z76" s="43" t="str">
        <f t="shared" si="6"/>
        <v>204712</v>
      </c>
    </row>
    <row r="77" spans="1:26">
      <c r="A77" s="41">
        <v>2040</v>
      </c>
      <c r="B77" s="44">
        <f t="shared" si="3"/>
        <v>33084.97572352046</v>
      </c>
      <c r="C77" s="44">
        <f t="shared" si="4"/>
        <v>33250.400602138056</v>
      </c>
      <c r="D77" s="44">
        <f t="shared" si="4"/>
        <v>33416.652605148745</v>
      </c>
      <c r="E77" s="44">
        <f t="shared" si="4"/>
        <v>33583.735868174488</v>
      </c>
      <c r="F77" s="44">
        <f t="shared" si="4"/>
        <v>33751.654547515354</v>
      </c>
      <c r="G77" s="44">
        <f t="shared" si="4"/>
        <v>33920.412820252925</v>
      </c>
      <c r="H77" s="44">
        <f t="shared" si="4"/>
        <v>34090.014884354183</v>
      </c>
      <c r="I77" s="44">
        <f t="shared" si="4"/>
        <v>34260.464958775949</v>
      </c>
      <c r="J77" s="44">
        <f t="shared" si="4"/>
        <v>34431.767283569825</v>
      </c>
      <c r="K77" s="44">
        <f t="shared" si="4"/>
        <v>34603.926119987671</v>
      </c>
      <c r="L77" s="44">
        <f t="shared" si="4"/>
        <v>34776.945750587605</v>
      </c>
      <c r="M77" s="44">
        <f t="shared" si="4"/>
        <v>34950.83047934054</v>
      </c>
      <c r="N77" s="22"/>
      <c r="O77" s="43" t="str">
        <f t="shared" ref="O77:Q99" si="7">$A77&amp;TEXT(B$18,"00")</f>
        <v>204001</v>
      </c>
      <c r="P77" s="43" t="str">
        <f t="shared" si="7"/>
        <v>204002</v>
      </c>
      <c r="Q77" s="43" t="str">
        <f t="shared" si="7"/>
        <v>204003</v>
      </c>
      <c r="R77" s="43" t="str">
        <f t="shared" si="6"/>
        <v>204004</v>
      </c>
      <c r="S77" s="43" t="str">
        <f t="shared" si="6"/>
        <v>204005</v>
      </c>
      <c r="T77" s="43" t="str">
        <f t="shared" si="6"/>
        <v>204006</v>
      </c>
      <c r="U77" s="43" t="str">
        <f t="shared" si="6"/>
        <v>204007</v>
      </c>
      <c r="V77" s="43" t="str">
        <f t="shared" si="6"/>
        <v>204008</v>
      </c>
      <c r="W77" s="43" t="str">
        <f t="shared" si="6"/>
        <v>204009</v>
      </c>
      <c r="X77" s="43" t="str">
        <f t="shared" si="6"/>
        <v>204010</v>
      </c>
      <c r="Y77" s="43" t="str">
        <f t="shared" si="6"/>
        <v>204011</v>
      </c>
      <c r="Z77" s="43" t="str">
        <f t="shared" si="6"/>
        <v>204012</v>
      </c>
    </row>
    <row r="78" spans="1:26">
      <c r="A78" s="41">
        <v>2049</v>
      </c>
      <c r="B78" s="44">
        <f t="shared" si="3"/>
        <v>35125.584631737242</v>
      </c>
      <c r="C78" s="44">
        <f t="shared" si="4"/>
        <v>35301.212554895923</v>
      </c>
      <c r="D78" s="44">
        <f t="shared" si="4"/>
        <v>35477.718617670398</v>
      </c>
      <c r="E78" s="44">
        <f t="shared" si="4"/>
        <v>35655.107210758746</v>
      </c>
      <c r="F78" s="44">
        <f t="shared" si="4"/>
        <v>35833.382746812538</v>
      </c>
      <c r="G78" s="44">
        <f t="shared" si="4"/>
        <v>36012.549660546596</v>
      </c>
      <c r="H78" s="44">
        <f t="shared" si="4"/>
        <v>36192.612408849323</v>
      </c>
      <c r="I78" s="44">
        <f t="shared" si="4"/>
        <v>36373.575470893564</v>
      </c>
      <c r="J78" s="44">
        <f t="shared" si="4"/>
        <v>36555.443348248031</v>
      </c>
      <c r="K78" s="44">
        <f t="shared" si="4"/>
        <v>36738.220564989264</v>
      </c>
      <c r="L78" s="44">
        <f t="shared" si="4"/>
        <v>36921.911667814209</v>
      </c>
      <c r="M78" s="44">
        <f t="shared" si="4"/>
        <v>37106.52122615328</v>
      </c>
      <c r="N78" s="22"/>
      <c r="O78" s="43" t="str">
        <f t="shared" si="7"/>
        <v>204901</v>
      </c>
      <c r="P78" s="43" t="str">
        <f t="shared" si="7"/>
        <v>204902</v>
      </c>
      <c r="Q78" s="43" t="str">
        <f t="shared" si="7"/>
        <v>204903</v>
      </c>
      <c r="R78" s="43" t="str">
        <f t="shared" si="6"/>
        <v>204904</v>
      </c>
      <c r="S78" s="43" t="str">
        <f t="shared" si="6"/>
        <v>204905</v>
      </c>
      <c r="T78" s="43" t="str">
        <f t="shared" si="6"/>
        <v>204906</v>
      </c>
      <c r="U78" s="43" t="str">
        <f t="shared" si="6"/>
        <v>204907</v>
      </c>
      <c r="V78" s="43" t="str">
        <f t="shared" si="6"/>
        <v>204908</v>
      </c>
      <c r="W78" s="43" t="str">
        <f t="shared" si="6"/>
        <v>204909</v>
      </c>
      <c r="X78" s="43" t="str">
        <f t="shared" si="6"/>
        <v>204910</v>
      </c>
      <c r="Y78" s="43" t="str">
        <f t="shared" si="6"/>
        <v>204911</v>
      </c>
      <c r="Z78" s="43" t="str">
        <f t="shared" si="6"/>
        <v>204912</v>
      </c>
    </row>
    <row r="79" spans="1:26">
      <c r="A79" s="41">
        <v>2050</v>
      </c>
      <c r="B79" s="44">
        <f t="shared" si="3"/>
        <v>37292.053832284044</v>
      </c>
      <c r="C79" s="44">
        <f t="shared" si="4"/>
        <v>37478.514101445457</v>
      </c>
      <c r="D79" s="44">
        <f t="shared" si="4"/>
        <v>37665.906671952682</v>
      </c>
      <c r="E79" s="44">
        <f t="shared" si="4"/>
        <v>37854.236205312438</v>
      </c>
      <c r="F79" s="44">
        <f t="shared" si="4"/>
        <v>38043.507386338999</v>
      </c>
      <c r="G79" s="44">
        <f t="shared" si="4"/>
        <v>38233.724923270689</v>
      </c>
      <c r="H79" s="44">
        <f t="shared" si="4"/>
        <v>38424.893547887041</v>
      </c>
      <c r="I79" s="44">
        <f t="shared" si="4"/>
        <v>38617.018015626469</v>
      </c>
      <c r="J79" s="44">
        <f t="shared" si="4"/>
        <v>38810.103105704598</v>
      </c>
      <c r="K79" s="44">
        <f t="shared" si="4"/>
        <v>39004.153621233119</v>
      </c>
      <c r="L79" s="44">
        <f t="shared" si="4"/>
        <v>39199.174389339278</v>
      </c>
      <c r="M79" s="44">
        <f t="shared" si="4"/>
        <v>39395.170261285974</v>
      </c>
      <c r="N79" s="22"/>
      <c r="O79" s="43" t="str">
        <f t="shared" si="7"/>
        <v>205001</v>
      </c>
      <c r="P79" s="43" t="str">
        <f t="shared" si="7"/>
        <v>205002</v>
      </c>
      <c r="Q79" s="43" t="str">
        <f t="shared" si="7"/>
        <v>205003</v>
      </c>
      <c r="R79" s="43" t="str">
        <f t="shared" si="6"/>
        <v>205004</v>
      </c>
      <c r="S79" s="43" t="str">
        <f t="shared" si="6"/>
        <v>205005</v>
      </c>
      <c r="T79" s="43" t="str">
        <f t="shared" si="6"/>
        <v>205006</v>
      </c>
      <c r="U79" s="43" t="str">
        <f t="shared" si="6"/>
        <v>205007</v>
      </c>
      <c r="V79" s="43" t="str">
        <f t="shared" si="6"/>
        <v>205008</v>
      </c>
      <c r="W79" s="43" t="str">
        <f t="shared" si="6"/>
        <v>205009</v>
      </c>
      <c r="X79" s="43" t="str">
        <f t="shared" si="6"/>
        <v>205010</v>
      </c>
      <c r="Y79" s="43" t="str">
        <f t="shared" si="6"/>
        <v>205011</v>
      </c>
      <c r="Z79" s="43" t="str">
        <f t="shared" si="6"/>
        <v>205012</v>
      </c>
    </row>
    <row r="80" spans="1:26">
      <c r="A80" s="41">
        <v>2051</v>
      </c>
      <c r="B80" s="44">
        <f t="shared" si="3"/>
        <v>39592.146112592396</v>
      </c>
      <c r="C80" s="44">
        <f t="shared" si="4"/>
        <v>39790.10684315535</v>
      </c>
      <c r="D80" s="44">
        <f t="shared" si="4"/>
        <v>39989.057377371122</v>
      </c>
      <c r="E80" s="44">
        <f t="shared" si="4"/>
        <v>40189.002664257976</v>
      </c>
      <c r="F80" s="44">
        <f t="shared" si="4"/>
        <v>40389.947677579265</v>
      </c>
      <c r="G80" s="44">
        <f t="shared" si="4"/>
        <v>40591.897415967156</v>
      </c>
      <c r="H80" s="44">
        <f t="shared" si="4"/>
        <v>40794.856903046988</v>
      </c>
      <c r="I80" s="44">
        <f t="shared" si="4"/>
        <v>40998.831187562217</v>
      </c>
      <c r="J80" s="44">
        <f t="shared" si="4"/>
        <v>41203.825343500022</v>
      </c>
      <c r="K80" s="44">
        <f t="shared" si="4"/>
        <v>41409.844470217518</v>
      </c>
      <c r="L80" s="44">
        <f t="shared" si="4"/>
        <v>41616.893692568599</v>
      </c>
      <c r="M80" s="44">
        <f t="shared" si="4"/>
        <v>41824.978161031439</v>
      </c>
      <c r="N80" s="22"/>
      <c r="O80" s="43" t="str">
        <f t="shared" si="7"/>
        <v>205101</v>
      </c>
      <c r="P80" s="43" t="str">
        <f t="shared" si="7"/>
        <v>205102</v>
      </c>
      <c r="Q80" s="43" t="str">
        <f t="shared" si="7"/>
        <v>205103</v>
      </c>
      <c r="R80" s="43" t="str">
        <f t="shared" si="6"/>
        <v>205104</v>
      </c>
      <c r="S80" s="43" t="str">
        <f t="shared" si="6"/>
        <v>205105</v>
      </c>
      <c r="T80" s="43" t="str">
        <f t="shared" si="6"/>
        <v>205106</v>
      </c>
      <c r="U80" s="43" t="str">
        <f t="shared" si="6"/>
        <v>205107</v>
      </c>
      <c r="V80" s="43" t="str">
        <f t="shared" si="6"/>
        <v>205108</v>
      </c>
      <c r="W80" s="43" t="str">
        <f t="shared" si="6"/>
        <v>205109</v>
      </c>
      <c r="X80" s="43" t="str">
        <f t="shared" si="6"/>
        <v>205110</v>
      </c>
      <c r="Y80" s="43" t="str">
        <f t="shared" si="6"/>
        <v>205111</v>
      </c>
      <c r="Z80" s="43" t="str">
        <f t="shared" si="6"/>
        <v>205112</v>
      </c>
    </row>
    <row r="81" spans="1:26">
      <c r="A81" s="41">
        <v>2052</v>
      </c>
      <c r="B81" s="44">
        <f t="shared" si="3"/>
        <v>42034.103051836588</v>
      </c>
      <c r="C81" s="44">
        <f t="shared" si="4"/>
        <v>42244.273567095763</v>
      </c>
      <c r="D81" s="44">
        <f t="shared" si="4"/>
        <v>42455.494934931237</v>
      </c>
      <c r="E81" s="44">
        <f t="shared" si="4"/>
        <v>42667.772409605888</v>
      </c>
      <c r="F81" s="44">
        <f t="shared" si="4"/>
        <v>42881.111271653914</v>
      </c>
      <c r="G81" s="44">
        <f t="shared" si="4"/>
        <v>43095.51682801218</v>
      </c>
      <c r="H81" s="44">
        <f t="shared" si="4"/>
        <v>43310.994412152235</v>
      </c>
      <c r="I81" s="44">
        <f t="shared" si="4"/>
        <v>43527.549384212994</v>
      </c>
      <c r="J81" s="44">
        <f t="shared" si="4"/>
        <v>43745.187131134058</v>
      </c>
      <c r="K81" s="44">
        <f t="shared" si="4"/>
        <v>43963.913066789726</v>
      </c>
      <c r="L81" s="44">
        <f t="shared" si="4"/>
        <v>44183.732632123669</v>
      </c>
      <c r="M81" s="44">
        <f t="shared" si="4"/>
        <v>44404.651295284282</v>
      </c>
      <c r="N81" s="22"/>
      <c r="O81" s="43" t="str">
        <f t="shared" si="7"/>
        <v>205201</v>
      </c>
      <c r="P81" s="43" t="str">
        <f t="shared" si="7"/>
        <v>205202</v>
      </c>
      <c r="Q81" s="43" t="str">
        <f t="shared" si="7"/>
        <v>205203</v>
      </c>
      <c r="R81" s="43" t="str">
        <f t="shared" si="6"/>
        <v>205204</v>
      </c>
      <c r="S81" s="43" t="str">
        <f t="shared" si="6"/>
        <v>205205</v>
      </c>
      <c r="T81" s="43" t="str">
        <f t="shared" si="6"/>
        <v>205206</v>
      </c>
      <c r="U81" s="43" t="str">
        <f t="shared" si="6"/>
        <v>205207</v>
      </c>
      <c r="V81" s="43" t="str">
        <f t="shared" si="6"/>
        <v>205208</v>
      </c>
      <c r="W81" s="43" t="str">
        <f t="shared" si="6"/>
        <v>205209</v>
      </c>
      <c r="X81" s="43" t="str">
        <f t="shared" si="6"/>
        <v>205210</v>
      </c>
      <c r="Y81" s="43" t="str">
        <f t="shared" si="6"/>
        <v>205211</v>
      </c>
      <c r="Z81" s="43" t="str">
        <f t="shared" si="6"/>
        <v>205212</v>
      </c>
    </row>
    <row r="82" spans="1:26">
      <c r="A82" s="41">
        <v>2053</v>
      </c>
      <c r="B82" s="44">
        <f t="shared" si="3"/>
        <v>44626.674551760698</v>
      </c>
      <c r="C82" s="44">
        <f t="shared" si="4"/>
        <v>44849.807924519497</v>
      </c>
      <c r="D82" s="44">
        <f t="shared" si="4"/>
        <v>45074.056964142088</v>
      </c>
      <c r="E82" s="44">
        <f t="shared" si="4"/>
        <v>45299.427248962791</v>
      </c>
      <c r="F82" s="44">
        <f t="shared" si="4"/>
        <v>45525.924385207603</v>
      </c>
      <c r="G82" s="44">
        <f t="shared" si="4"/>
        <v>45753.554007133636</v>
      </c>
      <c r="H82" s="44">
        <f t="shared" si="4"/>
        <v>45982.321777169302</v>
      </c>
      <c r="I82" s="44">
        <f t="shared" si="4"/>
        <v>46212.233386055144</v>
      </c>
      <c r="J82" s="44">
        <f t="shared" si="4"/>
        <v>46443.294552985419</v>
      </c>
      <c r="K82" s="44">
        <f t="shared" si="4"/>
        <v>46675.51102575034</v>
      </c>
      <c r="L82" s="44">
        <f t="shared" si="4"/>
        <v>46908.888580879087</v>
      </c>
      <c r="M82" s="44">
        <f t="shared" si="4"/>
        <v>47143.43302378348</v>
      </c>
      <c r="N82" s="22"/>
      <c r="O82" s="43" t="str">
        <f t="shared" si="7"/>
        <v>205301</v>
      </c>
      <c r="P82" s="43" t="str">
        <f t="shared" si="7"/>
        <v>205302</v>
      </c>
      <c r="Q82" s="43" t="str">
        <f t="shared" si="7"/>
        <v>205303</v>
      </c>
      <c r="R82" s="43" t="str">
        <f t="shared" si="6"/>
        <v>205304</v>
      </c>
      <c r="S82" s="43" t="str">
        <f t="shared" si="6"/>
        <v>205305</v>
      </c>
      <c r="T82" s="43" t="str">
        <f t="shared" si="6"/>
        <v>205306</v>
      </c>
      <c r="U82" s="43" t="str">
        <f t="shared" si="6"/>
        <v>205307</v>
      </c>
      <c r="V82" s="43" t="str">
        <f t="shared" si="6"/>
        <v>205308</v>
      </c>
      <c r="W82" s="43" t="str">
        <f t="shared" si="6"/>
        <v>205309</v>
      </c>
      <c r="X82" s="43" t="str">
        <f t="shared" si="6"/>
        <v>205310</v>
      </c>
      <c r="Y82" s="43" t="str">
        <f t="shared" si="6"/>
        <v>205311</v>
      </c>
      <c r="Z82" s="43" t="str">
        <f t="shared" si="6"/>
        <v>205312</v>
      </c>
    </row>
    <row r="83" spans="1:26">
      <c r="A83" s="41">
        <v>2054</v>
      </c>
      <c r="B83" s="44">
        <f t="shared" si="3"/>
        <v>47379.150188902393</v>
      </c>
      <c r="C83" s="44">
        <f t="shared" si="4"/>
        <v>47616.045939846903</v>
      </c>
      <c r="D83" s="44">
        <f t="shared" si="4"/>
        <v>47854.126169546129</v>
      </c>
      <c r="E83" s="44">
        <f t="shared" si="4"/>
        <v>48093.396800393857</v>
      </c>
      <c r="F83" s="44">
        <f t="shared" si="4"/>
        <v>48333.86378439582</v>
      </c>
      <c r="G83" s="44">
        <f t="shared" si="4"/>
        <v>48575.533103317794</v>
      </c>
      <c r="H83" s="44">
        <f t="shared" si="4"/>
        <v>48818.410768834379</v>
      </c>
      <c r="I83" s="44">
        <f t="shared" si="4"/>
        <v>49062.502822678543</v>
      </c>
      <c r="J83" s="44">
        <f t="shared" si="4"/>
        <v>49307.815336791929</v>
      </c>
      <c r="K83" s="44">
        <f t="shared" si="4"/>
        <v>49554.354413475885</v>
      </c>
      <c r="L83" s="44">
        <f t="shared" si="4"/>
        <v>49802.12618554326</v>
      </c>
      <c r="M83" s="44">
        <f t="shared" si="4"/>
        <v>50051.136816470971</v>
      </c>
      <c r="N83" s="22"/>
      <c r="O83" s="43" t="str">
        <f t="shared" si="7"/>
        <v>205401</v>
      </c>
      <c r="P83" s="43" t="str">
        <f t="shared" si="7"/>
        <v>205402</v>
      </c>
      <c r="Q83" s="43" t="str">
        <f t="shared" si="7"/>
        <v>205403</v>
      </c>
      <c r="R83" s="43" t="str">
        <f t="shared" si="6"/>
        <v>205404</v>
      </c>
      <c r="S83" s="43" t="str">
        <f t="shared" si="6"/>
        <v>205405</v>
      </c>
      <c r="T83" s="43" t="str">
        <f t="shared" si="6"/>
        <v>205406</v>
      </c>
      <c r="U83" s="43" t="str">
        <f t="shared" si="6"/>
        <v>205407</v>
      </c>
      <c r="V83" s="43" t="str">
        <f t="shared" si="6"/>
        <v>205408</v>
      </c>
      <c r="W83" s="43" t="str">
        <f t="shared" si="6"/>
        <v>205409</v>
      </c>
      <c r="X83" s="43" t="str">
        <f t="shared" si="6"/>
        <v>205410</v>
      </c>
      <c r="Y83" s="43" t="str">
        <f t="shared" si="6"/>
        <v>205411</v>
      </c>
      <c r="Z83" s="43" t="str">
        <f t="shared" si="6"/>
        <v>205412</v>
      </c>
    </row>
    <row r="84" spans="1:26">
      <c r="A84" s="41">
        <v>2055</v>
      </c>
      <c r="B84" s="44">
        <f t="shared" si="3"/>
        <v>50301.392500553324</v>
      </c>
      <c r="C84" s="44">
        <f t="shared" si="4"/>
        <v>50552.899463056085</v>
      </c>
      <c r="D84" s="44">
        <f t="shared" si="4"/>
        <v>50805.663960371363</v>
      </c>
      <c r="E84" s="44">
        <f t="shared" si="4"/>
        <v>51059.692280173214</v>
      </c>
      <c r="F84" s="44">
        <f t="shared" si="4"/>
        <v>51314.990741574074</v>
      </c>
      <c r="G84" s="44">
        <f t="shared" si="4"/>
        <v>51571.565695281941</v>
      </c>
      <c r="H84" s="44">
        <f t="shared" si="4"/>
        <v>51829.423523758342</v>
      </c>
      <c r="I84" s="44">
        <f t="shared" si="4"/>
        <v>52088.570641377126</v>
      </c>
      <c r="J84" s="44">
        <f t="shared" si="4"/>
        <v>52349.013494584004</v>
      </c>
      <c r="K84" s="44">
        <f t="shared" si="4"/>
        <v>52610.758562056915</v>
      </c>
      <c r="L84" s="44">
        <f t="shared" si="4"/>
        <v>52873.812354867194</v>
      </c>
      <c r="M84" s="44">
        <f t="shared" si="4"/>
        <v>53138.181416641521</v>
      </c>
      <c r="N84" s="22"/>
      <c r="O84" s="43" t="str">
        <f t="shared" si="7"/>
        <v>205501</v>
      </c>
      <c r="P84" s="43" t="str">
        <f t="shared" si="7"/>
        <v>205502</v>
      </c>
      <c r="Q84" s="43" t="str">
        <f t="shared" si="7"/>
        <v>205503</v>
      </c>
      <c r="R84" s="43" t="str">
        <f t="shared" si="6"/>
        <v>205504</v>
      </c>
      <c r="S84" s="43" t="str">
        <f t="shared" si="6"/>
        <v>205505</v>
      </c>
      <c r="T84" s="43" t="str">
        <f t="shared" si="6"/>
        <v>205506</v>
      </c>
      <c r="U84" s="43" t="str">
        <f t="shared" si="6"/>
        <v>205507</v>
      </c>
      <c r="V84" s="43" t="str">
        <f t="shared" si="6"/>
        <v>205508</v>
      </c>
      <c r="W84" s="43" t="str">
        <f t="shared" si="6"/>
        <v>205509</v>
      </c>
      <c r="X84" s="43" t="str">
        <f t="shared" si="6"/>
        <v>205510</v>
      </c>
      <c r="Y84" s="43" t="str">
        <f t="shared" si="6"/>
        <v>205511</v>
      </c>
      <c r="Z84" s="43" t="str">
        <f t="shared" si="6"/>
        <v>205512</v>
      </c>
    </row>
    <row r="85" spans="1:26">
      <c r="A85" s="41">
        <v>2056</v>
      </c>
      <c r="B85" s="44">
        <f t="shared" si="3"/>
        <v>53403.872323724725</v>
      </c>
      <c r="C85" s="44">
        <f t="shared" si="4"/>
        <v>53670.89168534334</v>
      </c>
      <c r="D85" s="44">
        <f t="shared" si="4"/>
        <v>53939.246143770048</v>
      </c>
      <c r="E85" s="44">
        <f t="shared" si="4"/>
        <v>54208.942374488892</v>
      </c>
      <c r="F85" s="44">
        <f t="shared" si="4"/>
        <v>54479.987086361332</v>
      </c>
      <c r="G85" s="44">
        <f t="shared" si="4"/>
        <v>54752.387021793133</v>
      </c>
      <c r="H85" s="44">
        <f t="shared" si="4"/>
        <v>55026.148956902092</v>
      </c>
      <c r="I85" s="44">
        <f t="shared" si="4"/>
        <v>55301.279701686595</v>
      </c>
      <c r="J85" s="44">
        <f t="shared" si="4"/>
        <v>55577.786100195022</v>
      </c>
      <c r="K85" s="44">
        <f t="shared" si="4"/>
        <v>55855.675030695995</v>
      </c>
      <c r="L85" s="44">
        <f t="shared" si="4"/>
        <v>56134.953405849468</v>
      </c>
      <c r="M85" s="44">
        <f t="shared" si="4"/>
        <v>56415.628172878707</v>
      </c>
      <c r="N85" s="22"/>
      <c r="O85" s="43" t="str">
        <f t="shared" si="7"/>
        <v>205601</v>
      </c>
      <c r="P85" s="43" t="str">
        <f t="shared" si="7"/>
        <v>205602</v>
      </c>
      <c r="Q85" s="43" t="str">
        <f t="shared" si="7"/>
        <v>205603</v>
      </c>
      <c r="R85" s="43" t="str">
        <f t="shared" si="6"/>
        <v>205604</v>
      </c>
      <c r="S85" s="43" t="str">
        <f t="shared" si="6"/>
        <v>205605</v>
      </c>
      <c r="T85" s="43" t="str">
        <f t="shared" si="6"/>
        <v>205606</v>
      </c>
      <c r="U85" s="43" t="str">
        <f t="shared" si="6"/>
        <v>205607</v>
      </c>
      <c r="V85" s="43" t="str">
        <f t="shared" si="6"/>
        <v>205608</v>
      </c>
      <c r="W85" s="43" t="str">
        <f t="shared" si="6"/>
        <v>205609</v>
      </c>
      <c r="X85" s="43" t="str">
        <f t="shared" si="6"/>
        <v>205610</v>
      </c>
      <c r="Y85" s="43" t="str">
        <f t="shared" si="6"/>
        <v>205611</v>
      </c>
      <c r="Z85" s="43" t="str">
        <f t="shared" si="6"/>
        <v>205612</v>
      </c>
    </row>
    <row r="86" spans="1:26">
      <c r="A86" s="41">
        <v>2057</v>
      </c>
      <c r="B86" s="44">
        <f t="shared" si="3"/>
        <v>56697.706313743096</v>
      </c>
      <c r="C86" s="44">
        <f t="shared" si="4"/>
        <v>56981.194845311802</v>
      </c>
      <c r="D86" s="44">
        <f t="shared" si="4"/>
        <v>57266.100819538355</v>
      </c>
      <c r="E86" s="44">
        <f t="shared" si="4"/>
        <v>57552.431323636039</v>
      </c>
      <c r="F86" s="44">
        <f t="shared" si="4"/>
        <v>57840.193480254216</v>
      </c>
      <c r="G86" s="44">
        <f t="shared" si="4"/>
        <v>58129.394447655483</v>
      </c>
      <c r="H86" s="44">
        <f t="shared" si="4"/>
        <v>58420.041419893751</v>
      </c>
      <c r="I86" s="44">
        <f t="shared" si="4"/>
        <v>58712.141626993216</v>
      </c>
      <c r="J86" s="44">
        <f t="shared" si="4"/>
        <v>59005.702335128175</v>
      </c>
      <c r="K86" s="44">
        <f t="shared" si="4"/>
        <v>59300.73084680381</v>
      </c>
      <c r="L86" s="44">
        <f t="shared" si="4"/>
        <v>59597.234501037819</v>
      </c>
      <c r="M86" s="44">
        <f t="shared" si="4"/>
        <v>59895.220673543001</v>
      </c>
      <c r="N86" s="22"/>
      <c r="O86" s="43" t="str">
        <f t="shared" si="7"/>
        <v>205701</v>
      </c>
      <c r="P86" s="43" t="str">
        <f t="shared" si="7"/>
        <v>205702</v>
      </c>
      <c r="Q86" s="43" t="str">
        <f t="shared" si="7"/>
        <v>205703</v>
      </c>
      <c r="R86" s="43" t="str">
        <f t="shared" si="6"/>
        <v>205704</v>
      </c>
      <c r="S86" s="43" t="str">
        <f t="shared" si="6"/>
        <v>205705</v>
      </c>
      <c r="T86" s="43" t="str">
        <f t="shared" si="6"/>
        <v>205706</v>
      </c>
      <c r="U86" s="43" t="str">
        <f t="shared" si="6"/>
        <v>205707</v>
      </c>
      <c r="V86" s="43" t="str">
        <f t="shared" si="6"/>
        <v>205708</v>
      </c>
      <c r="W86" s="43" t="str">
        <f t="shared" si="6"/>
        <v>205709</v>
      </c>
      <c r="X86" s="43" t="str">
        <f t="shared" si="6"/>
        <v>205710</v>
      </c>
      <c r="Y86" s="43" t="str">
        <f t="shared" si="6"/>
        <v>205711</v>
      </c>
      <c r="Z86" s="43" t="str">
        <f t="shared" si="6"/>
        <v>205712</v>
      </c>
    </row>
    <row r="87" spans="1:26">
      <c r="A87" s="41">
        <v>2058</v>
      </c>
      <c r="B87" s="44">
        <f t="shared" si="3"/>
        <v>60194.696776910707</v>
      </c>
      <c r="C87" s="44">
        <f t="shared" si="4"/>
        <v>60495.670260795254</v>
      </c>
      <c r="D87" s="44">
        <f t="shared" si="4"/>
        <v>60798.148612099227</v>
      </c>
      <c r="E87" s="44">
        <f t="shared" si="4"/>
        <v>61102.139355159714</v>
      </c>
      <c r="F87" s="44">
        <f t="shared" si="4"/>
        <v>61407.650051935503</v>
      </c>
      <c r="G87" s="44">
        <f t="shared" si="4"/>
        <v>61714.688302195173</v>
      </c>
      <c r="H87" s="44">
        <f t="shared" si="4"/>
        <v>62023.261743706142</v>
      </c>
      <c r="I87" s="44">
        <f t="shared" si="4"/>
        <v>62333.378052424669</v>
      </c>
      <c r="J87" s="44">
        <f t="shared" si="4"/>
        <v>62645.044942686785</v>
      </c>
      <c r="K87" s="44">
        <f t="shared" si="4"/>
        <v>62958.270167400209</v>
      </c>
      <c r="L87" s="44">
        <f t="shared" si="4"/>
        <v>63273.061518237206</v>
      </c>
      <c r="M87" s="44">
        <f t="shared" si="4"/>
        <v>63589.426825828385</v>
      </c>
      <c r="N87" s="22"/>
      <c r="O87" s="43" t="str">
        <f t="shared" si="7"/>
        <v>205801</v>
      </c>
      <c r="P87" s="43" t="str">
        <f t="shared" si="7"/>
        <v>205802</v>
      </c>
      <c r="Q87" s="43" t="str">
        <f t="shared" si="7"/>
        <v>205803</v>
      </c>
      <c r="R87" s="43" t="str">
        <f t="shared" si="6"/>
        <v>205804</v>
      </c>
      <c r="S87" s="43" t="str">
        <f t="shared" si="6"/>
        <v>205805</v>
      </c>
      <c r="T87" s="43" t="str">
        <f t="shared" si="6"/>
        <v>205806</v>
      </c>
      <c r="U87" s="43" t="str">
        <f t="shared" si="6"/>
        <v>205807</v>
      </c>
      <c r="V87" s="43" t="str">
        <f t="shared" si="6"/>
        <v>205808</v>
      </c>
      <c r="W87" s="43" t="str">
        <f t="shared" si="6"/>
        <v>205809</v>
      </c>
      <c r="X87" s="43" t="str">
        <f t="shared" si="6"/>
        <v>205810</v>
      </c>
      <c r="Y87" s="43" t="str">
        <f t="shared" si="6"/>
        <v>205811</v>
      </c>
      <c r="Z87" s="43" t="str">
        <f t="shared" si="6"/>
        <v>205812</v>
      </c>
    </row>
    <row r="88" spans="1:26">
      <c r="A88" s="41">
        <v>2059</v>
      </c>
      <c r="B88" s="44">
        <f t="shared" si="3"/>
        <v>63907.37395995752</v>
      </c>
      <c r="C88" s="44">
        <f t="shared" si="4"/>
        <v>64226.910829757304</v>
      </c>
      <c r="D88" s="44">
        <f t="shared" si="4"/>
        <v>64548.045383906086</v>
      </c>
      <c r="E88" s="44">
        <f t="shared" si="4"/>
        <v>64870.785610825609</v>
      </c>
      <c r="F88" s="44">
        <f t="shared" si="4"/>
        <v>65195.139538879732</v>
      </c>
      <c r="G88" s="44">
        <f t="shared" si="4"/>
        <v>65521.115236574122</v>
      </c>
      <c r="H88" s="44">
        <f t="shared" si="4"/>
        <v>65848.72081275699</v>
      </c>
      <c r="I88" s="44">
        <f t="shared" si="4"/>
        <v>66177.964416820774</v>
      </c>
      <c r="J88" s="44">
        <f t="shared" si="4"/>
        <v>66508.854238904867</v>
      </c>
      <c r="K88" s="44">
        <f t="shared" si="4"/>
        <v>66841.398510099389</v>
      </c>
      <c r="L88" s="44">
        <f t="shared" si="4"/>
        <v>67175.60550264988</v>
      </c>
      <c r="M88" s="44">
        <f t="shared" si="4"/>
        <v>67511.483530163125</v>
      </c>
      <c r="N88" s="22"/>
      <c r="O88" s="43" t="str">
        <f t="shared" si="7"/>
        <v>205901</v>
      </c>
      <c r="P88" s="43" t="str">
        <f t="shared" si="7"/>
        <v>205902</v>
      </c>
      <c r="Q88" s="43" t="str">
        <f t="shared" si="7"/>
        <v>205903</v>
      </c>
      <c r="R88" s="43" t="str">
        <f t="shared" si="6"/>
        <v>205904</v>
      </c>
      <c r="S88" s="43" t="str">
        <f t="shared" si="6"/>
        <v>205905</v>
      </c>
      <c r="T88" s="43" t="str">
        <f t="shared" si="6"/>
        <v>205906</v>
      </c>
      <c r="U88" s="43" t="str">
        <f t="shared" si="6"/>
        <v>205907</v>
      </c>
      <c r="V88" s="43" t="str">
        <f t="shared" si="6"/>
        <v>205908</v>
      </c>
      <c r="W88" s="43" t="str">
        <f t="shared" si="6"/>
        <v>205909</v>
      </c>
      <c r="X88" s="43" t="str">
        <f t="shared" si="6"/>
        <v>205910</v>
      </c>
      <c r="Y88" s="43" t="str">
        <f t="shared" si="6"/>
        <v>205911</v>
      </c>
      <c r="Z88" s="43" t="str">
        <f t="shared" si="6"/>
        <v>205912</v>
      </c>
    </row>
    <row r="89" spans="1:26">
      <c r="A89" s="41">
        <v>2060</v>
      </c>
      <c r="B89" s="44">
        <f t="shared" si="3"/>
        <v>67849.040947813934</v>
      </c>
      <c r="C89" s="44">
        <f t="shared" si="4"/>
        <v>68188.286152553002</v>
      </c>
      <c r="D89" s="44">
        <f t="shared" si="4"/>
        <v>68529.227583315762</v>
      </c>
      <c r="E89" s="44">
        <f t="shared" si="4"/>
        <v>68871.873721232332</v>
      </c>
      <c r="F89" s="44">
        <f t="shared" si="4"/>
        <v>69216.233089838483</v>
      </c>
      <c r="G89" s="44">
        <f t="shared" si="4"/>
        <v>69562.314255287667</v>
      </c>
      <c r="H89" s="44">
        <f t="shared" si="4"/>
        <v>69910.125826564094</v>
      </c>
      <c r="I89" s="44">
        <f t="shared" si="4"/>
        <v>70259.676455696914</v>
      </c>
      <c r="J89" s="44">
        <f t="shared" si="4"/>
        <v>70610.974837975387</v>
      </c>
      <c r="K89" s="44">
        <f t="shared" si="4"/>
        <v>70964.029712165255</v>
      </c>
      <c r="L89" s="44">
        <f t="shared" ref="L89:M99" si="8">IF(AND(Y89&gt;=$B$4,Y89&lt;=$C$4),(1+$B$7/12)*K89,(1+$E$7/12)*K89)</f>
        <v>71318.84986072607</v>
      </c>
      <c r="M89" s="44">
        <f t="shared" si="8"/>
        <v>71675.444110029697</v>
      </c>
      <c r="N89" s="22"/>
      <c r="O89" s="43" t="str">
        <f t="shared" si="7"/>
        <v>206001</v>
      </c>
      <c r="P89" s="43" t="str">
        <f t="shared" si="7"/>
        <v>206002</v>
      </c>
      <c r="Q89" s="43" t="str">
        <f t="shared" si="7"/>
        <v>206003</v>
      </c>
      <c r="R89" s="43" t="str">
        <f t="shared" si="6"/>
        <v>206004</v>
      </c>
      <c r="S89" s="43" t="str">
        <f t="shared" si="6"/>
        <v>206005</v>
      </c>
      <c r="T89" s="43" t="str">
        <f t="shared" si="6"/>
        <v>206006</v>
      </c>
      <c r="U89" s="43" t="str">
        <f t="shared" si="6"/>
        <v>206007</v>
      </c>
      <c r="V89" s="43" t="str">
        <f t="shared" si="6"/>
        <v>206008</v>
      </c>
      <c r="W89" s="43" t="str">
        <f t="shared" si="6"/>
        <v>206009</v>
      </c>
      <c r="X89" s="43" t="str">
        <f t="shared" si="6"/>
        <v>206010</v>
      </c>
      <c r="Y89" s="43" t="str">
        <f t="shared" si="6"/>
        <v>206011</v>
      </c>
      <c r="Z89" s="43" t="str">
        <f t="shared" si="6"/>
        <v>206012</v>
      </c>
    </row>
    <row r="90" spans="1:26">
      <c r="A90" s="41">
        <v>2061</v>
      </c>
      <c r="B90" s="44">
        <f t="shared" si="3"/>
        <v>72033.821330579842</v>
      </c>
      <c r="C90" s="44">
        <f t="shared" ref="C90:K99" si="9">IF(AND(P90&gt;=$B$4,P90&lt;=$C$4),(1+$B$7/12)*B90,(1+$E$7/12)*B90)</f>
        <v>72393.990437232729</v>
      </c>
      <c r="D90" s="44">
        <f t="shared" si="9"/>
        <v>72755.960389418891</v>
      </c>
      <c r="E90" s="44">
        <f t="shared" si="9"/>
        <v>73119.740191365985</v>
      </c>
      <c r="F90" s="44">
        <f t="shared" si="9"/>
        <v>73485.338892322805</v>
      </c>
      <c r="G90" s="44">
        <f t="shared" si="9"/>
        <v>73852.765586784415</v>
      </c>
      <c r="H90" s="44">
        <f t="shared" si="9"/>
        <v>74222.02941471833</v>
      </c>
      <c r="I90" s="44">
        <f t="shared" si="9"/>
        <v>74593.139561791919</v>
      </c>
      <c r="J90" s="44">
        <f t="shared" si="9"/>
        <v>74966.105259600867</v>
      </c>
      <c r="K90" s="44">
        <f t="shared" si="9"/>
        <v>75340.935785898866</v>
      </c>
      <c r="L90" s="44">
        <f t="shared" si="8"/>
        <v>75717.64046482835</v>
      </c>
      <c r="M90" s="44">
        <f t="shared" si="8"/>
        <v>76096.228667152478</v>
      </c>
      <c r="N90" s="22"/>
      <c r="O90" s="43" t="str">
        <f t="shared" si="7"/>
        <v>206101</v>
      </c>
      <c r="P90" s="43" t="str">
        <f t="shared" si="7"/>
        <v>206102</v>
      </c>
      <c r="Q90" s="43" t="str">
        <f t="shared" si="7"/>
        <v>206103</v>
      </c>
      <c r="R90" s="43" t="str">
        <f t="shared" si="6"/>
        <v>206104</v>
      </c>
      <c r="S90" s="43" t="str">
        <f t="shared" si="6"/>
        <v>206105</v>
      </c>
      <c r="T90" s="43" t="str">
        <f t="shared" si="6"/>
        <v>206106</v>
      </c>
      <c r="U90" s="43" t="str">
        <f t="shared" si="6"/>
        <v>206107</v>
      </c>
      <c r="V90" s="43" t="str">
        <f t="shared" si="6"/>
        <v>206108</v>
      </c>
      <c r="W90" s="43" t="str">
        <f t="shared" si="6"/>
        <v>206109</v>
      </c>
      <c r="X90" s="43" t="str">
        <f t="shared" si="6"/>
        <v>206110</v>
      </c>
      <c r="Y90" s="43" t="str">
        <f t="shared" si="6"/>
        <v>206111</v>
      </c>
      <c r="Z90" s="43" t="str">
        <f t="shared" si="6"/>
        <v>206112</v>
      </c>
    </row>
    <row r="91" spans="1:26">
      <c r="A91" s="41">
        <v>2062</v>
      </c>
      <c r="B91" s="44">
        <f t="shared" si="3"/>
        <v>76476.709810488232</v>
      </c>
      <c r="C91" s="44">
        <f t="shared" si="9"/>
        <v>76859.093359540668</v>
      </c>
      <c r="D91" s="44">
        <f t="shared" si="9"/>
        <v>77243.388826338356</v>
      </c>
      <c r="E91" s="44">
        <f t="shared" si="9"/>
        <v>77629.605770470036</v>
      </c>
      <c r="F91" s="44">
        <f t="shared" si="9"/>
        <v>78017.753799322381</v>
      </c>
      <c r="G91" s="44">
        <f t="shared" si="9"/>
        <v>78407.842568318985</v>
      </c>
      <c r="H91" s="44">
        <f t="shared" si="9"/>
        <v>78799.88178116057</v>
      </c>
      <c r="I91" s="44">
        <f t="shared" si="9"/>
        <v>79193.881190066357</v>
      </c>
      <c r="J91" s="44">
        <f t="shared" si="9"/>
        <v>79589.85059601668</v>
      </c>
      <c r="K91" s="44">
        <f t="shared" si="9"/>
        <v>79987.799848996758</v>
      </c>
      <c r="L91" s="44">
        <f t="shared" si="8"/>
        <v>80387.73884824173</v>
      </c>
      <c r="M91" s="44">
        <f t="shared" si="8"/>
        <v>80789.677542482925</v>
      </c>
      <c r="N91" s="22"/>
      <c r="O91" s="43" t="str">
        <f t="shared" si="7"/>
        <v>206201</v>
      </c>
      <c r="P91" s="43" t="str">
        <f t="shared" si="7"/>
        <v>206202</v>
      </c>
      <c r="Q91" s="43" t="str">
        <f t="shared" si="7"/>
        <v>206203</v>
      </c>
      <c r="R91" s="43" t="str">
        <f t="shared" si="6"/>
        <v>206204</v>
      </c>
      <c r="S91" s="43" t="str">
        <f t="shared" si="6"/>
        <v>206205</v>
      </c>
      <c r="T91" s="43" t="str">
        <f t="shared" si="6"/>
        <v>206206</v>
      </c>
      <c r="U91" s="43" t="str">
        <f t="shared" si="6"/>
        <v>206207</v>
      </c>
      <c r="V91" s="43" t="str">
        <f t="shared" si="6"/>
        <v>206208</v>
      </c>
      <c r="W91" s="43" t="str">
        <f t="shared" si="6"/>
        <v>206209</v>
      </c>
      <c r="X91" s="43" t="str">
        <f t="shared" si="6"/>
        <v>206210</v>
      </c>
      <c r="Y91" s="43" t="str">
        <f t="shared" si="6"/>
        <v>206211</v>
      </c>
      <c r="Z91" s="43" t="str">
        <f t="shared" si="6"/>
        <v>206212</v>
      </c>
    </row>
    <row r="92" spans="1:26">
      <c r="A92" s="41">
        <v>2063</v>
      </c>
      <c r="B92" s="44">
        <f t="shared" si="3"/>
        <v>81193.625930195325</v>
      </c>
      <c r="C92" s="44">
        <f t="shared" si="9"/>
        <v>81599.594059846291</v>
      </c>
      <c r="D92" s="44">
        <f t="shared" si="9"/>
        <v>82007.592030145519</v>
      </c>
      <c r="E92" s="44">
        <f t="shared" si="9"/>
        <v>82417.629990296235</v>
      </c>
      <c r="F92" s="44">
        <f t="shared" si="9"/>
        <v>82829.7181402477</v>
      </c>
      <c r="G92" s="44">
        <f t="shared" si="9"/>
        <v>83243.866730948925</v>
      </c>
      <c r="H92" s="44">
        <f t="shared" si="9"/>
        <v>83660.08606460366</v>
      </c>
      <c r="I92" s="44">
        <f t="shared" si="9"/>
        <v>84078.386494926672</v>
      </c>
      <c r="J92" s="44">
        <f t="shared" si="9"/>
        <v>84498.778427401296</v>
      </c>
      <c r="K92" s="44">
        <f t="shared" si="9"/>
        <v>84921.272319538286</v>
      </c>
      <c r="L92" s="44">
        <f t="shared" si="8"/>
        <v>85345.878681135975</v>
      </c>
      <c r="M92" s="44">
        <f t="shared" si="8"/>
        <v>85772.60807454164</v>
      </c>
      <c r="N92" s="22"/>
      <c r="O92" s="43" t="str">
        <f t="shared" si="7"/>
        <v>206301</v>
      </c>
      <c r="P92" s="43" t="str">
        <f t="shared" si="7"/>
        <v>206302</v>
      </c>
      <c r="Q92" s="43" t="str">
        <f t="shared" si="7"/>
        <v>206303</v>
      </c>
      <c r="R92" s="43" t="str">
        <f t="shared" si="6"/>
        <v>206304</v>
      </c>
      <c r="S92" s="43" t="str">
        <f t="shared" si="6"/>
        <v>206305</v>
      </c>
      <c r="T92" s="43" t="str">
        <f t="shared" si="6"/>
        <v>206306</v>
      </c>
      <c r="U92" s="43" t="str">
        <f t="shared" si="6"/>
        <v>206307</v>
      </c>
      <c r="V92" s="43" t="str">
        <f t="shared" si="6"/>
        <v>206308</v>
      </c>
      <c r="W92" s="43" t="str">
        <f t="shared" si="6"/>
        <v>206309</v>
      </c>
      <c r="X92" s="43" t="str">
        <f t="shared" si="6"/>
        <v>206310</v>
      </c>
      <c r="Y92" s="43" t="str">
        <f t="shared" si="6"/>
        <v>206311</v>
      </c>
      <c r="Z92" s="43" t="str">
        <f t="shared" si="6"/>
        <v>206312</v>
      </c>
    </row>
    <row r="93" spans="1:26">
      <c r="A93" s="41">
        <v>2064</v>
      </c>
      <c r="B93" s="44">
        <f t="shared" si="3"/>
        <v>86201.47111491434</v>
      </c>
      <c r="C93" s="44">
        <f t="shared" si="9"/>
        <v>86632.478470488903</v>
      </c>
      <c r="D93" s="44">
        <f t="shared" si="9"/>
        <v>87065.640862841334</v>
      </c>
      <c r="E93" s="44">
        <f t="shared" si="9"/>
        <v>87500.969067155529</v>
      </c>
      <c r="F93" s="44">
        <f t="shared" si="9"/>
        <v>87938.473912491303</v>
      </c>
      <c r="G93" s="44">
        <f t="shared" si="9"/>
        <v>88378.166282053746</v>
      </c>
      <c r="H93" s="44">
        <f t="shared" si="9"/>
        <v>88820.057113464005</v>
      </c>
      <c r="I93" s="44">
        <f t="shared" si="9"/>
        <v>89264.157399031319</v>
      </c>
      <c r="J93" s="44">
        <f t="shared" si="9"/>
        <v>89710.478186026463</v>
      </c>
      <c r="K93" s="44">
        <f t="shared" si="9"/>
        <v>90159.030576956589</v>
      </c>
      <c r="L93" s="44">
        <f t="shared" si="8"/>
        <v>90609.825729841366</v>
      </c>
      <c r="M93" s="44">
        <f t="shared" si="8"/>
        <v>91062.87485849057</v>
      </c>
      <c r="N93" s="22"/>
      <c r="O93" s="43" t="str">
        <f t="shared" si="7"/>
        <v>206401</v>
      </c>
      <c r="P93" s="43" t="str">
        <f t="shared" si="7"/>
        <v>206402</v>
      </c>
      <c r="Q93" s="43" t="str">
        <f t="shared" si="7"/>
        <v>206403</v>
      </c>
      <c r="R93" s="43" t="str">
        <f t="shared" si="6"/>
        <v>206404</v>
      </c>
      <c r="S93" s="43" t="str">
        <f t="shared" si="6"/>
        <v>206405</v>
      </c>
      <c r="T93" s="43" t="str">
        <f t="shared" si="6"/>
        <v>206406</v>
      </c>
      <c r="U93" s="43" t="str">
        <f t="shared" si="6"/>
        <v>206407</v>
      </c>
      <c r="V93" s="43" t="str">
        <f t="shared" si="6"/>
        <v>206408</v>
      </c>
      <c r="W93" s="43" t="str">
        <f t="shared" si="6"/>
        <v>206409</v>
      </c>
      <c r="X93" s="43" t="str">
        <f t="shared" si="6"/>
        <v>206410</v>
      </c>
      <c r="Y93" s="43" t="str">
        <f t="shared" si="6"/>
        <v>206411</v>
      </c>
      <c r="Z93" s="43" t="str">
        <f t="shared" si="6"/>
        <v>206412</v>
      </c>
    </row>
    <row r="94" spans="1:26">
      <c r="A94" s="41">
        <v>2065</v>
      </c>
      <c r="B94" s="44">
        <f t="shared" si="3"/>
        <v>91518.189232783014</v>
      </c>
      <c r="C94" s="44">
        <f t="shared" si="9"/>
        <v>91975.780178946923</v>
      </c>
      <c r="D94" s="44">
        <f t="shared" si="9"/>
        <v>92435.659079841644</v>
      </c>
      <c r="E94" s="44">
        <f t="shared" si="9"/>
        <v>92897.837375240837</v>
      </c>
      <c r="F94" s="44">
        <f t="shared" si="9"/>
        <v>93362.326562117029</v>
      </c>
      <c r="G94" s="44">
        <f t="shared" si="9"/>
        <v>93829.138194927596</v>
      </c>
      <c r="H94" s="44">
        <f t="shared" si="9"/>
        <v>94298.28388590223</v>
      </c>
      <c r="I94" s="44">
        <f t="shared" si="9"/>
        <v>94769.775305331728</v>
      </c>
      <c r="J94" s="44">
        <f t="shared" si="9"/>
        <v>95243.62418185838</v>
      </c>
      <c r="K94" s="44">
        <f t="shared" si="9"/>
        <v>95719.842302767662</v>
      </c>
      <c r="L94" s="44">
        <f t="shared" si="8"/>
        <v>96198.441514281483</v>
      </c>
      <c r="M94" s="44">
        <f t="shared" si="8"/>
        <v>96679.433721852882</v>
      </c>
      <c r="N94" s="22"/>
      <c r="O94" s="43" t="str">
        <f t="shared" si="7"/>
        <v>206501</v>
      </c>
      <c r="P94" s="43" t="str">
        <f t="shared" si="7"/>
        <v>206502</v>
      </c>
      <c r="Q94" s="43" t="str">
        <f t="shared" si="7"/>
        <v>206503</v>
      </c>
      <c r="R94" s="43" t="str">
        <f t="shared" si="6"/>
        <v>206504</v>
      </c>
      <c r="S94" s="43" t="str">
        <f t="shared" si="6"/>
        <v>206505</v>
      </c>
      <c r="T94" s="43" t="str">
        <f t="shared" si="6"/>
        <v>206506</v>
      </c>
      <c r="U94" s="43" t="str">
        <f t="shared" si="6"/>
        <v>206507</v>
      </c>
      <c r="V94" s="43" t="str">
        <f t="shared" si="6"/>
        <v>206508</v>
      </c>
      <c r="W94" s="43" t="str">
        <f t="shared" si="6"/>
        <v>206509</v>
      </c>
      <c r="X94" s="43" t="str">
        <f t="shared" si="6"/>
        <v>206510</v>
      </c>
      <c r="Y94" s="43" t="str">
        <f t="shared" si="6"/>
        <v>206511</v>
      </c>
      <c r="Z94" s="43" t="str">
        <f t="shared" si="6"/>
        <v>206512</v>
      </c>
    </row>
    <row r="95" spans="1:26">
      <c r="A95" s="41">
        <v>2066</v>
      </c>
      <c r="B95" s="44">
        <f t="shared" si="3"/>
        <v>97162.830890462137</v>
      </c>
      <c r="C95" s="44">
        <f t="shared" si="9"/>
        <v>97648.645044914432</v>
      </c>
      <c r="D95" s="44">
        <f t="shared" si="9"/>
        <v>98136.888270138996</v>
      </c>
      <c r="E95" s="44">
        <f t="shared" si="9"/>
        <v>98627.572711489687</v>
      </c>
      <c r="F95" s="44">
        <f t="shared" si="9"/>
        <v>99120.710575047124</v>
      </c>
      <c r="G95" s="44">
        <f t="shared" si="9"/>
        <v>99616.314127922349</v>
      </c>
      <c r="H95" s="44">
        <f t="shared" si="9"/>
        <v>100114.39569856194</v>
      </c>
      <c r="I95" s="44">
        <f t="shared" si="9"/>
        <v>100614.96767705474</v>
      </c>
      <c r="J95" s="44">
        <f t="shared" si="9"/>
        <v>101118.04251544</v>
      </c>
      <c r="K95" s="44">
        <f t="shared" si="9"/>
        <v>101623.63272801718</v>
      </c>
      <c r="L95" s="44">
        <f t="shared" si="8"/>
        <v>102131.75089165726</v>
      </c>
      <c r="M95" s="44">
        <f t="shared" si="8"/>
        <v>102642.40964611553</v>
      </c>
      <c r="N95" s="22"/>
      <c r="O95" s="43" t="str">
        <f t="shared" si="7"/>
        <v>206601</v>
      </c>
      <c r="P95" s="43" t="str">
        <f t="shared" si="7"/>
        <v>206602</v>
      </c>
      <c r="Q95" s="43" t="str">
        <f t="shared" si="7"/>
        <v>206603</v>
      </c>
      <c r="R95" s="43" t="str">
        <f t="shared" si="6"/>
        <v>206604</v>
      </c>
      <c r="S95" s="43" t="str">
        <f t="shared" si="6"/>
        <v>206605</v>
      </c>
      <c r="T95" s="43" t="str">
        <f t="shared" si="6"/>
        <v>206606</v>
      </c>
      <c r="U95" s="43" t="str">
        <f t="shared" si="6"/>
        <v>206607</v>
      </c>
      <c r="V95" s="43" t="str">
        <f t="shared" si="6"/>
        <v>206608</v>
      </c>
      <c r="W95" s="43" t="str">
        <f t="shared" si="6"/>
        <v>206609</v>
      </c>
      <c r="X95" s="43" t="str">
        <f t="shared" si="6"/>
        <v>206610</v>
      </c>
      <c r="Y95" s="43" t="str">
        <f t="shared" si="6"/>
        <v>206611</v>
      </c>
      <c r="Z95" s="43" t="str">
        <f t="shared" si="6"/>
        <v>206612</v>
      </c>
    </row>
    <row r="96" spans="1:26">
      <c r="A96" s="41">
        <v>2067</v>
      </c>
      <c r="B96" s="44">
        <f t="shared" si="3"/>
        <v>103155.62169434609</v>
      </c>
      <c r="C96" s="44">
        <f t="shared" si="9"/>
        <v>103671.3998028178</v>
      </c>
      <c r="D96" s="44">
        <f t="shared" si="9"/>
        <v>104189.75680183189</v>
      </c>
      <c r="E96" s="44">
        <f t="shared" si="9"/>
        <v>104710.70558584103</v>
      </c>
      <c r="F96" s="44">
        <f t="shared" si="9"/>
        <v>105234.25911377023</v>
      </c>
      <c r="G96" s="44">
        <f t="shared" si="9"/>
        <v>105760.43040933907</v>
      </c>
      <c r="H96" s="44">
        <f t="shared" si="9"/>
        <v>106289.23256138575</v>
      </c>
      <c r="I96" s="44">
        <f t="shared" si="9"/>
        <v>106820.67872419266</v>
      </c>
      <c r="J96" s="44">
        <f t="shared" si="9"/>
        <v>107354.78211781362</v>
      </c>
      <c r="K96" s="44">
        <f t="shared" si="9"/>
        <v>107891.55602840267</v>
      </c>
      <c r="L96" s="44">
        <f t="shared" si="8"/>
        <v>108431.01380854467</v>
      </c>
      <c r="M96" s="44">
        <f t="shared" si="8"/>
        <v>108973.16887758738</v>
      </c>
      <c r="N96" s="22"/>
      <c r="O96" s="43" t="str">
        <f t="shared" si="7"/>
        <v>206701</v>
      </c>
      <c r="P96" s="43" t="str">
        <f t="shared" si="7"/>
        <v>206702</v>
      </c>
      <c r="Q96" s="43" t="str">
        <f t="shared" si="7"/>
        <v>206703</v>
      </c>
      <c r="R96" s="43" t="str">
        <f t="shared" si="6"/>
        <v>206704</v>
      </c>
      <c r="S96" s="43" t="str">
        <f t="shared" si="6"/>
        <v>206705</v>
      </c>
      <c r="T96" s="43" t="str">
        <f t="shared" si="6"/>
        <v>206706</v>
      </c>
      <c r="U96" s="43" t="str">
        <f t="shared" si="6"/>
        <v>206707</v>
      </c>
      <c r="V96" s="43" t="str">
        <f t="shared" si="6"/>
        <v>206708</v>
      </c>
      <c r="W96" s="43" t="str">
        <f t="shared" si="6"/>
        <v>206709</v>
      </c>
      <c r="X96" s="43" t="str">
        <f t="shared" si="6"/>
        <v>206710</v>
      </c>
      <c r="Y96" s="43" t="str">
        <f t="shared" si="6"/>
        <v>206711</v>
      </c>
      <c r="Z96" s="43" t="str">
        <f t="shared" si="6"/>
        <v>206712</v>
      </c>
    </row>
    <row r="97" spans="1:26">
      <c r="A97" s="41">
        <v>2068</v>
      </c>
      <c r="B97" s="44">
        <f t="shared" si="3"/>
        <v>109518.0347219753</v>
      </c>
      <c r="C97" s="44">
        <f t="shared" si="9"/>
        <v>110065.62489558516</v>
      </c>
      <c r="D97" s="44">
        <f t="shared" si="9"/>
        <v>110615.95302006308</v>
      </c>
      <c r="E97" s="44">
        <f t="shared" si="9"/>
        <v>111169.03278516339</v>
      </c>
      <c r="F97" s="44">
        <f t="shared" si="9"/>
        <v>111724.87794908919</v>
      </c>
      <c r="G97" s="44">
        <f t="shared" si="9"/>
        <v>112283.50233883463</v>
      </c>
      <c r="H97" s="44">
        <f t="shared" si="9"/>
        <v>112844.91985052879</v>
      </c>
      <c r="I97" s="44">
        <f t="shared" si="9"/>
        <v>113409.14444978142</v>
      </c>
      <c r="J97" s="44">
        <f t="shared" si="9"/>
        <v>113976.19017203031</v>
      </c>
      <c r="K97" s="44">
        <f t="shared" si="9"/>
        <v>114546.07112289045</v>
      </c>
      <c r="L97" s="44">
        <f t="shared" si="8"/>
        <v>115118.8014785049</v>
      </c>
      <c r="M97" s="44">
        <f t="shared" si="8"/>
        <v>115694.39548589742</v>
      </c>
      <c r="N97" s="22"/>
      <c r="O97" s="43" t="str">
        <f t="shared" si="7"/>
        <v>206801</v>
      </c>
      <c r="P97" s="43" t="str">
        <f t="shared" si="7"/>
        <v>206802</v>
      </c>
      <c r="Q97" s="43" t="str">
        <f t="shared" si="7"/>
        <v>206803</v>
      </c>
      <c r="R97" s="43" t="str">
        <f t="shared" si="6"/>
        <v>206804</v>
      </c>
      <c r="S97" s="43" t="str">
        <f t="shared" si="6"/>
        <v>206805</v>
      </c>
      <c r="T97" s="43" t="str">
        <f t="shared" si="6"/>
        <v>206806</v>
      </c>
      <c r="U97" s="43" t="str">
        <f t="shared" si="6"/>
        <v>206807</v>
      </c>
      <c r="V97" s="43" t="str">
        <f t="shared" si="6"/>
        <v>206808</v>
      </c>
      <c r="W97" s="43" t="str">
        <f t="shared" si="6"/>
        <v>206809</v>
      </c>
      <c r="X97" s="43" t="str">
        <f t="shared" si="6"/>
        <v>206810</v>
      </c>
      <c r="Y97" s="43" t="str">
        <f t="shared" si="6"/>
        <v>206811</v>
      </c>
      <c r="Z97" s="43" t="str">
        <f t="shared" si="6"/>
        <v>206812</v>
      </c>
    </row>
    <row r="98" spans="1:26">
      <c r="A98" s="41">
        <v>2069</v>
      </c>
      <c r="B98" s="44">
        <f t="shared" si="3"/>
        <v>116272.8674633269</v>
      </c>
      <c r="C98" s="44">
        <f t="shared" si="9"/>
        <v>116854.23180064352</v>
      </c>
      <c r="D98" s="44">
        <f t="shared" si="9"/>
        <v>117438.50295964674</v>
      </c>
      <c r="E98" s="44">
        <f t="shared" si="9"/>
        <v>118025.69547444496</v>
      </c>
      <c r="F98" s="44">
        <f t="shared" si="9"/>
        <v>118615.82395181718</v>
      </c>
      <c r="G98" s="44">
        <f t="shared" si="9"/>
        <v>119208.90307157625</v>
      </c>
      <c r="H98" s="44">
        <f t="shared" si="9"/>
        <v>119804.94758693411</v>
      </c>
      <c r="I98" s="44">
        <f t="shared" si="9"/>
        <v>120403.97232486877</v>
      </c>
      <c r="J98" s="44">
        <f t="shared" si="9"/>
        <v>121005.99218649309</v>
      </c>
      <c r="K98" s="44">
        <f t="shared" si="9"/>
        <v>121611.02214742555</v>
      </c>
      <c r="L98" s="44">
        <f t="shared" si="8"/>
        <v>122219.07725816267</v>
      </c>
      <c r="M98" s="44">
        <f t="shared" si="8"/>
        <v>122830.17264445347</v>
      </c>
      <c r="N98" s="22"/>
      <c r="O98" s="43" t="str">
        <f t="shared" si="7"/>
        <v>206901</v>
      </c>
      <c r="P98" s="43" t="str">
        <f t="shared" si="7"/>
        <v>206902</v>
      </c>
      <c r="Q98" s="43" t="str">
        <f t="shared" si="7"/>
        <v>206903</v>
      </c>
      <c r="R98" s="43" t="str">
        <f t="shared" si="6"/>
        <v>206904</v>
      </c>
      <c r="S98" s="43" t="str">
        <f t="shared" si="6"/>
        <v>206905</v>
      </c>
      <c r="T98" s="43" t="str">
        <f t="shared" si="6"/>
        <v>206906</v>
      </c>
      <c r="U98" s="43" t="str">
        <f t="shared" si="6"/>
        <v>206907</v>
      </c>
      <c r="V98" s="43" t="str">
        <f t="shared" si="6"/>
        <v>206908</v>
      </c>
      <c r="W98" s="43" t="str">
        <f t="shared" si="6"/>
        <v>206909</v>
      </c>
      <c r="X98" s="43" t="str">
        <f t="shared" si="6"/>
        <v>206910</v>
      </c>
      <c r="Y98" s="43" t="str">
        <f t="shared" si="6"/>
        <v>206911</v>
      </c>
      <c r="Z98" s="43" t="str">
        <f t="shared" si="6"/>
        <v>206912</v>
      </c>
    </row>
    <row r="99" spans="1:26">
      <c r="A99" s="45">
        <v>2070</v>
      </c>
      <c r="B99" s="46">
        <f t="shared" si="3"/>
        <v>123444.32350767573</v>
      </c>
      <c r="C99" s="46">
        <f t="shared" si="9"/>
        <v>124061.54512521409</v>
      </c>
      <c r="D99" s="46">
        <f t="shared" si="9"/>
        <v>124681.85285084015</v>
      </c>
      <c r="E99" s="46">
        <f t="shared" si="9"/>
        <v>125305.26211509435</v>
      </c>
      <c r="F99" s="46">
        <f t="shared" si="9"/>
        <v>125931.7884256698</v>
      </c>
      <c r="G99" s="46">
        <f t="shared" si="9"/>
        <v>126561.44736779814</v>
      </c>
      <c r="H99" s="46">
        <f t="shared" si="9"/>
        <v>127194.25460463713</v>
      </c>
      <c r="I99" s="46">
        <f t="shared" si="9"/>
        <v>127830.2258776603</v>
      </c>
      <c r="J99" s="46">
        <f t="shared" si="9"/>
        <v>128469.37700704859</v>
      </c>
      <c r="K99" s="46">
        <f t="shared" si="9"/>
        <v>129111.72389208383</v>
      </c>
      <c r="L99" s="46">
        <f t="shared" si="8"/>
        <v>129757.28251154424</v>
      </c>
      <c r="M99" s="46">
        <f t="shared" si="8"/>
        <v>130406.06892410194</v>
      </c>
      <c r="N99" s="22"/>
      <c r="O99" s="47" t="str">
        <f t="shared" si="7"/>
        <v>207001</v>
      </c>
      <c r="P99" s="47" t="str">
        <f t="shared" si="7"/>
        <v>207002</v>
      </c>
      <c r="Q99" s="47" t="str">
        <f t="shared" si="7"/>
        <v>207003</v>
      </c>
      <c r="R99" s="47" t="str">
        <f t="shared" si="6"/>
        <v>207004</v>
      </c>
      <c r="S99" s="47" t="str">
        <f t="shared" si="6"/>
        <v>207005</v>
      </c>
      <c r="T99" s="47" t="str">
        <f t="shared" si="6"/>
        <v>207006</v>
      </c>
      <c r="U99" s="47" t="str">
        <f t="shared" si="6"/>
        <v>207007</v>
      </c>
      <c r="V99" s="47" t="str">
        <f t="shared" si="6"/>
        <v>207008</v>
      </c>
      <c r="W99" s="47" t="str">
        <f t="shared" si="6"/>
        <v>207009</v>
      </c>
      <c r="X99" s="47" t="str">
        <f t="shared" si="6"/>
        <v>207010</v>
      </c>
      <c r="Y99" s="47" t="str">
        <f t="shared" si="6"/>
        <v>207011</v>
      </c>
      <c r="Z99" s="47" t="str">
        <f t="shared" si="6"/>
        <v>207012</v>
      </c>
    </row>
    <row r="100" spans="1:26">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c r="A101" s="57" t="s">
        <v>219</v>
      </c>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c r="A102" s="22"/>
      <c r="B102" s="24" t="s">
        <v>220</v>
      </c>
      <c r="C102" s="22" t="s">
        <v>221</v>
      </c>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c r="A103" s="22"/>
      <c r="B103" s="59" t="s">
        <v>220</v>
      </c>
      <c r="C103" s="58" t="s">
        <v>222</v>
      </c>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sheetData>
  <sheetProtection algorithmName="SHA-512" hashValue="wjvcQyyNqQ5B5lZXxR/pPl0qVU2xlLzRgNmAQWH56aVufXlsaD6QCcMoTVYUV8SAYGKx23DCR7iTSOk2ZLPQYw==" saltValue="T8H0oXehxkGZTPHf9xjrGA==" spinCount="100000" sheet="1" selectLockedCells="1"/>
  <mergeCells count="6">
    <mergeCell ref="AA9:AE9"/>
    <mergeCell ref="H1:L1"/>
    <mergeCell ref="B9:F9"/>
    <mergeCell ref="H9:L9"/>
    <mergeCell ref="O9:S9"/>
    <mergeCell ref="U9:Y9"/>
  </mergeCells>
  <printOptions horizontalCentered="1"/>
  <pageMargins left="0.25" right="0.25" top="0.5" bottom="0.5" header="0.25" footer="0.25"/>
  <pageSetup paperSize="3" orientation="portrait" horizontalDpi="0" verticalDpi="0"/>
  <ignoredErrors>
    <ignoredError sqref="J14 C14:D14 Q14 L15"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C329-AA56-FD48-9187-3E4FC706D597}">
  <sheetPr codeName="Sheet10">
    <tabColor rgb="FFF5BE14"/>
  </sheetPr>
  <dimension ref="A1:B33"/>
  <sheetViews>
    <sheetView showGridLines="0" view="pageLayout" workbookViewId="0">
      <selection activeCell="B3" sqref="B3:E3"/>
    </sheetView>
  </sheetViews>
  <sheetFormatPr baseColWidth="10" defaultColWidth="8.59765625" defaultRowHeight="12"/>
  <cols>
    <col min="1" max="1" width="5" customWidth="1"/>
    <col min="2" max="2" width="100.796875" customWidth="1"/>
  </cols>
  <sheetData>
    <row r="1" spans="1:2" ht="16">
      <c r="A1" s="562" t="str">
        <f>"CAPITAL PROJECT BUDGET WORKSHEETS"&amp;" "&amp;VERSION</f>
        <v>CAPITAL PROJECT BUDGET WORKSHEETS Rev. 2025-05BR</v>
      </c>
      <c r="B1" s="562"/>
    </row>
    <row r="2" spans="1:2" ht="13">
      <c r="A2" s="2"/>
      <c r="B2" s="2"/>
    </row>
    <row r="3" spans="1:2" ht="13">
      <c r="A3" s="55" t="s">
        <v>214</v>
      </c>
      <c r="B3" s="54" t="s">
        <v>211</v>
      </c>
    </row>
    <row r="4" spans="1:2" ht="13">
      <c r="A4" s="477">
        <v>1</v>
      </c>
      <c r="B4" s="2" t="s">
        <v>421</v>
      </c>
    </row>
    <row r="5" spans="1:2" ht="13">
      <c r="A5" s="477">
        <v>2</v>
      </c>
      <c r="B5" s="2" t="s">
        <v>417</v>
      </c>
    </row>
    <row r="6" spans="1:2" ht="13">
      <c r="A6" s="478">
        <v>3</v>
      </c>
      <c r="B6" s="2" t="s">
        <v>418</v>
      </c>
    </row>
    <row r="7" spans="1:2" ht="13">
      <c r="A7" s="478">
        <v>4</v>
      </c>
      <c r="B7" s="2" t="s">
        <v>422</v>
      </c>
    </row>
    <row r="8" spans="1:2" ht="13">
      <c r="A8" s="481">
        <v>5</v>
      </c>
      <c r="B8" s="2" t="s">
        <v>423</v>
      </c>
    </row>
    <row r="9" spans="1:2" ht="13">
      <c r="A9" s="479">
        <v>6</v>
      </c>
      <c r="B9" s="2" t="s">
        <v>419</v>
      </c>
    </row>
    <row r="10" spans="1:2" ht="13">
      <c r="A10" s="479">
        <v>7</v>
      </c>
      <c r="B10" s="2" t="s">
        <v>420</v>
      </c>
    </row>
    <row r="11" spans="1:2" ht="13">
      <c r="A11" s="480">
        <v>8</v>
      </c>
      <c r="B11" s="2" t="s">
        <v>424</v>
      </c>
    </row>
    <row r="12" spans="1:2" ht="13">
      <c r="A12" s="56">
        <v>9</v>
      </c>
      <c r="B12" s="2" t="s">
        <v>425</v>
      </c>
    </row>
    <row r="13" spans="1:2" ht="13">
      <c r="A13" s="2"/>
      <c r="B13" s="2"/>
    </row>
    <row r="14" spans="1:2" ht="13">
      <c r="A14" s="2"/>
      <c r="B14" s="2"/>
    </row>
    <row r="15" spans="1:2" ht="13">
      <c r="A15" s="2"/>
      <c r="B15" s="2"/>
    </row>
    <row r="16" spans="1:2" ht="56">
      <c r="A16" s="16">
        <v>1</v>
      </c>
      <c r="B16" s="17" t="s">
        <v>379</v>
      </c>
    </row>
    <row r="17" spans="1:2" ht="13">
      <c r="A17" s="18"/>
      <c r="B17" s="17"/>
    </row>
    <row r="18" spans="1:2" ht="84">
      <c r="A18" s="16">
        <v>2</v>
      </c>
      <c r="B18" s="17" t="s">
        <v>426</v>
      </c>
    </row>
    <row r="19" spans="1:2" ht="13">
      <c r="A19" s="18"/>
      <c r="B19" s="17"/>
    </row>
    <row r="20" spans="1:2" ht="84">
      <c r="A20" s="16">
        <v>3</v>
      </c>
      <c r="B20" s="17" t="s">
        <v>427</v>
      </c>
    </row>
    <row r="21" spans="1:2" ht="13">
      <c r="A21" s="18"/>
      <c r="B21" s="17"/>
    </row>
    <row r="22" spans="1:2" ht="70">
      <c r="A22" s="18"/>
      <c r="B22" s="408" t="s">
        <v>380</v>
      </c>
    </row>
    <row r="23" spans="1:2" ht="13">
      <c r="A23" s="18"/>
      <c r="B23" s="17"/>
    </row>
    <row r="24" spans="1:2" ht="140">
      <c r="A24" s="16">
        <v>4</v>
      </c>
      <c r="B24" s="17" t="s">
        <v>428</v>
      </c>
    </row>
    <row r="25" spans="1:2" ht="13">
      <c r="A25" s="18"/>
      <c r="B25" s="17"/>
    </row>
    <row r="26" spans="1:2" ht="84">
      <c r="A26" s="16">
        <v>5</v>
      </c>
      <c r="B26" s="17" t="s">
        <v>429</v>
      </c>
    </row>
    <row r="27" spans="1:2" ht="13">
      <c r="A27" s="18"/>
      <c r="B27" s="17"/>
    </row>
    <row r="28" spans="1:2" ht="28">
      <c r="A28" s="16">
        <v>6</v>
      </c>
      <c r="B28" s="17" t="s">
        <v>430</v>
      </c>
    </row>
    <row r="29" spans="1:2" ht="13">
      <c r="A29" s="16"/>
      <c r="B29" s="17"/>
    </row>
    <row r="30" spans="1:2" ht="28">
      <c r="A30" s="16">
        <v>7</v>
      </c>
      <c r="B30" s="17" t="s">
        <v>381</v>
      </c>
    </row>
    <row r="31" spans="1:2" ht="13">
      <c r="A31" s="16"/>
      <c r="B31" s="17"/>
    </row>
    <row r="32" spans="1:2" ht="195">
      <c r="A32" s="16"/>
      <c r="B32" s="482" t="s">
        <v>279</v>
      </c>
    </row>
    <row r="33" spans="1:2" ht="195">
      <c r="A33" s="16"/>
      <c r="B33" s="482" t="s">
        <v>280</v>
      </c>
    </row>
  </sheetData>
  <sheetProtection algorithmName="SHA-512" hashValue="azTffBQUx5sAqBEhcFXCufvDYyCb6pvGJuNKxprFEXMPKhB3ZLuWHPUKHtVl6gbv+INmfwDb+/g+A/B73AETQw==" saltValue="P6whZhCUETCDWH8DE4xoUg==" spinCount="100000" sheet="1" objects="1" scenarios="1" selectLockedCells="1" selectUnlockedCells="1"/>
  <sortState xmlns:xlrd2="http://schemas.microsoft.com/office/spreadsheetml/2017/richdata2" ref="A4:B12">
    <sortCondition ref="A4:A12"/>
  </sortState>
  <mergeCells count="1">
    <mergeCell ref="A1:B1"/>
  </mergeCells>
  <printOptions horizontalCentered="1"/>
  <pageMargins left="0.25" right="0.25" top="0.5" bottom="0.5" header="0.25" footer="0.25"/>
  <pageSetup orientation="portrait" horizontalDpi="4294967292" verticalDpi="4294967292" r:id="rId1"/>
  <headerFooter>
    <oddFooter>&amp;C&amp;"Arial Narrow,Regular"&amp;8&amp;K000000Read Me</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C7917-FF5D-4144-A8C6-A7B55E8CA637}">
  <sheetPr codeName="Sheet11">
    <tabColor rgb="FFF5BE14"/>
  </sheetPr>
  <dimension ref="A1:G53"/>
  <sheetViews>
    <sheetView showGridLines="0" view="pageLayout" workbookViewId="0">
      <selection sqref="A1:F1"/>
    </sheetView>
  </sheetViews>
  <sheetFormatPr baseColWidth="10" defaultColWidth="9.19921875" defaultRowHeight="12"/>
  <cols>
    <col min="1" max="1" width="32.3984375" customWidth="1"/>
    <col min="2" max="3" width="10.796875" customWidth="1"/>
    <col min="4" max="5" width="8.59765625" customWidth="1"/>
    <col min="6" max="6" width="42.59765625" customWidth="1"/>
  </cols>
  <sheetData>
    <row r="1" spans="1:7" ht="18" customHeight="1">
      <c r="A1" s="563" t="str">
        <f>"NEW CONSTRUCTION COST GUIDELINES"&amp;" "&amp;VERSION</f>
        <v>NEW CONSTRUCTION COST GUIDELINES Rev. 2025-05BR</v>
      </c>
      <c r="B1" s="564"/>
      <c r="C1" s="564"/>
      <c r="D1" s="565"/>
      <c r="E1" s="564"/>
      <c r="F1" s="566"/>
      <c r="G1" s="3"/>
    </row>
    <row r="2" spans="1:7" ht="12" customHeight="1">
      <c r="A2" s="573" t="s">
        <v>208</v>
      </c>
      <c r="B2" s="575" t="s">
        <v>27</v>
      </c>
      <c r="C2" s="573" t="s">
        <v>209</v>
      </c>
      <c r="D2" s="569" t="s">
        <v>204</v>
      </c>
      <c r="E2" s="570"/>
      <c r="F2" s="573" t="s">
        <v>210</v>
      </c>
      <c r="G2" s="3"/>
    </row>
    <row r="3" spans="1:7" ht="11.5" customHeight="1">
      <c r="A3" s="574"/>
      <c r="B3" s="576"/>
      <c r="C3" s="574"/>
      <c r="D3" s="71" t="s">
        <v>206</v>
      </c>
      <c r="E3" s="72" t="s">
        <v>207</v>
      </c>
      <c r="F3" s="574"/>
      <c r="G3" s="3"/>
    </row>
    <row r="4" spans="1:7" ht="12" customHeight="1">
      <c r="A4" s="4" t="s">
        <v>52</v>
      </c>
      <c r="B4" s="5">
        <v>140000</v>
      </c>
      <c r="C4" s="6">
        <v>65</v>
      </c>
      <c r="D4" s="51">
        <f>ROUNDUP((250*ENR!$AE$15),0)</f>
        <v>268</v>
      </c>
      <c r="E4" s="52">
        <f>ROUNDUP((330*ENR!$AE$15),0)</f>
        <v>353</v>
      </c>
      <c r="F4" s="4"/>
      <c r="G4" s="3"/>
    </row>
    <row r="5" spans="1:7" ht="12" customHeight="1">
      <c r="A5" s="7" t="s">
        <v>3</v>
      </c>
      <c r="B5" s="8">
        <v>140000</v>
      </c>
      <c r="C5" s="9">
        <v>65</v>
      </c>
      <c r="D5" s="49">
        <f>ROUNDUP((250*ENR!$AE$15),0)</f>
        <v>268</v>
      </c>
      <c r="E5" s="50">
        <f>ROUNDUP((275*ENR!$AE$15),0)</f>
        <v>294</v>
      </c>
      <c r="F5" s="7"/>
      <c r="G5" s="3"/>
    </row>
    <row r="6" spans="1:7" ht="12" customHeight="1">
      <c r="A6" s="7"/>
      <c r="B6" s="8"/>
      <c r="C6" s="9"/>
      <c r="D6" s="49"/>
      <c r="E6" s="50"/>
      <c r="F6" s="7"/>
      <c r="G6" s="3"/>
    </row>
    <row r="7" spans="1:7" ht="12" customHeight="1">
      <c r="A7" s="7" t="s">
        <v>4</v>
      </c>
      <c r="B7" s="8">
        <v>10000</v>
      </c>
      <c r="C7" s="9">
        <v>65</v>
      </c>
      <c r="D7" s="49">
        <f>ROUNDUP((495*ENR!$AE$15),0)</f>
        <v>530</v>
      </c>
      <c r="E7" s="50">
        <f>ROUNDUP((770*ENR!$AE$15),0)</f>
        <v>823</v>
      </c>
      <c r="F7" s="7"/>
      <c r="G7" s="3"/>
    </row>
    <row r="8" spans="1:7" ht="12" customHeight="1">
      <c r="A8" s="7"/>
      <c r="B8" s="8"/>
      <c r="C8" s="9"/>
      <c r="D8" s="49"/>
      <c r="E8" s="50"/>
      <c r="F8" s="7"/>
      <c r="G8" s="3"/>
    </row>
    <row r="9" spans="1:7" ht="55" customHeight="1">
      <c r="A9" s="7" t="s">
        <v>101</v>
      </c>
      <c r="B9" s="8">
        <v>30000</v>
      </c>
      <c r="C9" s="9">
        <v>65</v>
      </c>
      <c r="D9" s="49">
        <f>ROUNDUP((290*ENR!$AE$15),0)</f>
        <v>310</v>
      </c>
      <c r="E9" s="50">
        <f>ROUNDUP((390*ENR!$AE$15),0)</f>
        <v>417</v>
      </c>
      <c r="F9" s="10" t="s">
        <v>76</v>
      </c>
      <c r="G9" s="3"/>
    </row>
    <row r="10" spans="1:7" ht="12" customHeight="1">
      <c r="A10" s="7"/>
      <c r="B10" s="8"/>
      <c r="C10" s="9"/>
      <c r="D10" s="49"/>
      <c r="E10" s="50"/>
      <c r="F10" s="7"/>
      <c r="G10" s="3"/>
    </row>
    <row r="11" spans="1:7" ht="12" customHeight="1">
      <c r="A11" s="73" t="s">
        <v>5</v>
      </c>
      <c r="B11" s="74"/>
      <c r="C11" s="75"/>
      <c r="D11" s="76"/>
      <c r="E11" s="77"/>
      <c r="F11" s="78"/>
      <c r="G11" s="3"/>
    </row>
    <row r="12" spans="1:7" ht="12" customHeight="1">
      <c r="A12" s="11" t="s">
        <v>223</v>
      </c>
      <c r="B12" s="8">
        <v>100000</v>
      </c>
      <c r="C12" s="9">
        <v>62</v>
      </c>
      <c r="D12" s="49">
        <f>ROUNDUP((330*ENR!$AE$15),0)</f>
        <v>353</v>
      </c>
      <c r="E12" s="50">
        <f>ROUNDUP((385*ENR!$AE$15),0)</f>
        <v>412</v>
      </c>
      <c r="F12" s="7"/>
      <c r="G12" s="3"/>
    </row>
    <row r="13" spans="1:7" ht="12" customHeight="1">
      <c r="A13" s="11" t="s">
        <v>224</v>
      </c>
      <c r="B13" s="8">
        <v>25000</v>
      </c>
      <c r="C13" s="9">
        <v>60</v>
      </c>
      <c r="D13" s="49">
        <f>ROUNDUP((360*ENR!$AE$15),0)</f>
        <v>385</v>
      </c>
      <c r="E13" s="50">
        <f>ROUNDUP((390*ENR!$AE$15),0)</f>
        <v>417</v>
      </c>
      <c r="F13" s="7"/>
      <c r="G13" s="3"/>
    </row>
    <row r="14" spans="1:7" ht="12" customHeight="1">
      <c r="A14" s="11" t="s">
        <v>225</v>
      </c>
      <c r="B14" s="8">
        <v>25000</v>
      </c>
      <c r="C14" s="9">
        <v>58</v>
      </c>
      <c r="D14" s="49">
        <f>ROUNDUP((490*ENR!$AE$15),0)</f>
        <v>524</v>
      </c>
      <c r="E14" s="50">
        <f>ROUNDUP((710*ENR!$AE$15),0)</f>
        <v>759</v>
      </c>
      <c r="F14" s="7"/>
      <c r="G14" s="3"/>
    </row>
    <row r="15" spans="1:7" ht="12" customHeight="1">
      <c r="A15" s="11" t="s">
        <v>226</v>
      </c>
      <c r="B15" s="8">
        <v>100000</v>
      </c>
      <c r="C15" s="9">
        <v>55</v>
      </c>
      <c r="D15" s="49">
        <f>ROUNDUP((475*ENR!$AE$15),0)</f>
        <v>508</v>
      </c>
      <c r="E15" s="50">
        <f>ROUNDUP((710*ENR!$AE$15),0)</f>
        <v>759</v>
      </c>
      <c r="F15" s="7"/>
      <c r="G15" s="3"/>
    </row>
    <row r="16" spans="1:7" ht="12" customHeight="1">
      <c r="A16" s="11" t="s">
        <v>227</v>
      </c>
      <c r="B16" s="8">
        <v>15000</v>
      </c>
      <c r="C16" s="9">
        <v>55</v>
      </c>
      <c r="D16" s="49">
        <f>ROUNDUP((630*ENR!$AE$15),0)</f>
        <v>674</v>
      </c>
      <c r="E16" s="50">
        <f>ROUNDUP((690*ENR!$AE$15),0)</f>
        <v>738</v>
      </c>
      <c r="F16" s="7"/>
      <c r="G16" s="3"/>
    </row>
    <row r="17" spans="1:7" ht="12" customHeight="1">
      <c r="A17" s="11" t="s">
        <v>228</v>
      </c>
      <c r="B17" s="8">
        <v>25000</v>
      </c>
      <c r="C17" s="9">
        <v>65</v>
      </c>
      <c r="D17" s="49">
        <f>ROUNDUP((295*ENR!$AE$15),0)</f>
        <v>316</v>
      </c>
      <c r="E17" s="50">
        <f>ROUNDUP((390*ENR!$AE$15),0)</f>
        <v>417</v>
      </c>
      <c r="F17" s="7"/>
      <c r="G17" s="3"/>
    </row>
    <row r="18" spans="1:7" ht="12" customHeight="1">
      <c r="A18" s="11" t="s">
        <v>229</v>
      </c>
      <c r="B18" s="8">
        <v>10000</v>
      </c>
      <c r="C18" s="9">
        <v>80</v>
      </c>
      <c r="D18" s="49">
        <f>ROUNDUP((295*ENR!$AE$15),0)</f>
        <v>316</v>
      </c>
      <c r="E18" s="50">
        <f>ROUNDUP((330*ENR!$AE$15),0)</f>
        <v>353</v>
      </c>
      <c r="F18" s="7"/>
      <c r="G18" s="3"/>
    </row>
    <row r="19" spans="1:7" ht="12" customHeight="1">
      <c r="A19" s="11" t="s">
        <v>230</v>
      </c>
      <c r="B19" s="8">
        <v>25000</v>
      </c>
      <c r="C19" s="9">
        <v>80</v>
      </c>
      <c r="D19" s="49">
        <f>ROUNDUP((330*ENR!$AE$15),0)</f>
        <v>353</v>
      </c>
      <c r="E19" s="50">
        <f>ROUNDUP((380*ENR!$AE$15),0)</f>
        <v>407</v>
      </c>
      <c r="F19" s="7"/>
      <c r="G19" s="3"/>
    </row>
    <row r="20" spans="1:7" ht="12" customHeight="1">
      <c r="A20" s="7"/>
      <c r="B20" s="8"/>
      <c r="C20" s="9"/>
      <c r="D20" s="49"/>
      <c r="E20" s="50"/>
      <c r="F20" s="7"/>
      <c r="G20" s="3"/>
    </row>
    <row r="21" spans="1:7" ht="12" customHeight="1">
      <c r="A21" s="7" t="s">
        <v>6</v>
      </c>
      <c r="B21" s="8">
        <v>80000</v>
      </c>
      <c r="C21" s="53">
        <v>65</v>
      </c>
      <c r="D21" s="50">
        <f>ROUNDUP((220*ENR!$AE$15),0)</f>
        <v>236</v>
      </c>
      <c r="E21" s="50">
        <f>ROUNDUP((315*ENR!$AE$15),0)</f>
        <v>337</v>
      </c>
      <c r="F21" s="7"/>
      <c r="G21" s="3"/>
    </row>
    <row r="22" spans="1:7" ht="12" customHeight="1">
      <c r="A22" s="7"/>
      <c r="B22" s="8"/>
      <c r="C22" s="9"/>
      <c r="D22" s="49"/>
      <c r="E22" s="50"/>
      <c r="F22" s="7"/>
      <c r="G22" s="3"/>
    </row>
    <row r="23" spans="1:7" ht="12" customHeight="1">
      <c r="A23" s="73" t="s">
        <v>53</v>
      </c>
      <c r="B23" s="74"/>
      <c r="C23" s="75"/>
      <c r="D23" s="76"/>
      <c r="E23" s="77"/>
      <c r="F23" s="78"/>
      <c r="G23" s="3"/>
    </row>
    <row r="24" spans="1:7" ht="12" customHeight="1">
      <c r="A24" s="11" t="s">
        <v>231</v>
      </c>
      <c r="B24" s="8">
        <v>10000</v>
      </c>
      <c r="C24" s="9">
        <v>65</v>
      </c>
      <c r="D24" s="49">
        <f>ROUNDUP((210*ENR!$AE$15),0)</f>
        <v>225</v>
      </c>
      <c r="E24" s="50">
        <f>ROUNDUP((265*ENR!$AE$15),0)</f>
        <v>284</v>
      </c>
      <c r="F24" s="567" t="s">
        <v>7</v>
      </c>
      <c r="G24" s="3"/>
    </row>
    <row r="25" spans="1:7" ht="12" customHeight="1">
      <c r="A25" s="11" t="s">
        <v>232</v>
      </c>
      <c r="B25" s="8">
        <v>40000</v>
      </c>
      <c r="C25" s="9">
        <v>65</v>
      </c>
      <c r="D25" s="49">
        <f>ROUNDUP((200*ENR!$AE$15),0)</f>
        <v>214</v>
      </c>
      <c r="E25" s="50">
        <f>ROUNDUP((265*ENR!$AE$15),0)</f>
        <v>284</v>
      </c>
      <c r="F25" s="568"/>
      <c r="G25" s="3"/>
    </row>
    <row r="26" spans="1:7" ht="12" customHeight="1">
      <c r="A26" s="7"/>
      <c r="B26" s="8"/>
      <c r="C26" s="9"/>
      <c r="D26" s="49"/>
      <c r="E26" s="50"/>
      <c r="F26" s="7"/>
      <c r="G26" s="3"/>
    </row>
    <row r="27" spans="1:7" ht="12" customHeight="1">
      <c r="A27" s="73" t="s">
        <v>102</v>
      </c>
      <c r="B27" s="74">
        <v>120000</v>
      </c>
      <c r="C27" s="75">
        <v>70</v>
      </c>
      <c r="D27" s="76">
        <f>ROUNDUP((230*ENR!$AE$15),0)</f>
        <v>246</v>
      </c>
      <c r="E27" s="77">
        <f>ROUNDUP((265*ENR!$AE$15),0)</f>
        <v>284</v>
      </c>
      <c r="F27" s="78"/>
      <c r="G27" s="3"/>
    </row>
    <row r="28" spans="1:7" ht="12" customHeight="1">
      <c r="A28" s="11" t="s">
        <v>233</v>
      </c>
      <c r="B28" s="8">
        <v>80000</v>
      </c>
      <c r="C28" s="9">
        <v>78</v>
      </c>
      <c r="D28" s="49">
        <f>ROUNDUP((230*ENR!$AE$15),0)</f>
        <v>246</v>
      </c>
      <c r="E28" s="50">
        <f>ROUNDUP((275*ENR!$AE$15),0)</f>
        <v>294</v>
      </c>
      <c r="F28" s="7"/>
      <c r="G28" s="3"/>
    </row>
    <row r="29" spans="1:7" ht="12" customHeight="1">
      <c r="A29" s="11" t="s">
        <v>234</v>
      </c>
      <c r="B29" s="8">
        <v>45000</v>
      </c>
      <c r="C29" s="9">
        <v>75</v>
      </c>
      <c r="D29" s="49">
        <f>ROUNDUP((220*ENR!$AE$15),0)</f>
        <v>236</v>
      </c>
      <c r="E29" s="50">
        <f>ROUNDUP((250*ENR!$AE$15),0)</f>
        <v>268</v>
      </c>
      <c r="F29" s="7"/>
      <c r="G29" s="3"/>
    </row>
    <row r="30" spans="1:7" ht="12" customHeight="1">
      <c r="A30" s="11" t="s">
        <v>235</v>
      </c>
      <c r="B30" s="8">
        <v>115000</v>
      </c>
      <c r="C30" s="9">
        <v>74</v>
      </c>
      <c r="D30" s="49">
        <f>ROUNDUP((165*ENR!$AE$15),0)</f>
        <v>177</v>
      </c>
      <c r="E30" s="50">
        <f>ROUNDUP((195*ENR!$AE$15),0)</f>
        <v>209</v>
      </c>
      <c r="F30" s="7"/>
      <c r="G30" s="3"/>
    </row>
    <row r="31" spans="1:7" ht="12" customHeight="1">
      <c r="A31" s="11" t="s">
        <v>236</v>
      </c>
      <c r="B31" s="8">
        <v>10000</v>
      </c>
      <c r="C31" s="9">
        <v>78</v>
      </c>
      <c r="D31" s="49">
        <f>ROUNDUP((330*ENR!$AE$15),0)</f>
        <v>353</v>
      </c>
      <c r="E31" s="50">
        <f>ROUNDUP((385*ENR!$AE$15),0)</f>
        <v>412</v>
      </c>
      <c r="F31" s="7"/>
      <c r="G31" s="3"/>
    </row>
    <row r="32" spans="1:7" ht="12" customHeight="1">
      <c r="A32" s="7"/>
      <c r="B32" s="8"/>
      <c r="C32" s="9"/>
      <c r="D32" s="49"/>
      <c r="E32" s="50"/>
      <c r="F32" s="7"/>
      <c r="G32" s="3"/>
    </row>
    <row r="33" spans="1:7" ht="12" customHeight="1">
      <c r="A33" s="73" t="s">
        <v>8</v>
      </c>
      <c r="B33" s="74"/>
      <c r="C33" s="75"/>
      <c r="D33" s="76"/>
      <c r="E33" s="77"/>
      <c r="F33" s="78"/>
      <c r="G33" s="3"/>
    </row>
    <row r="34" spans="1:7" ht="12" customHeight="1">
      <c r="A34" s="12" t="s">
        <v>237</v>
      </c>
      <c r="B34" s="8">
        <v>160000</v>
      </c>
      <c r="C34" s="9">
        <v>80</v>
      </c>
      <c r="D34" s="49">
        <f>ROUNDUP((260*ENR!$AE$15),0)</f>
        <v>278</v>
      </c>
      <c r="E34" s="50">
        <f>ROUNDUP((350*ENR!$AE$15),0)</f>
        <v>375</v>
      </c>
      <c r="F34" s="7"/>
      <c r="G34" s="3"/>
    </row>
    <row r="35" spans="1:7" ht="12" customHeight="1">
      <c r="A35" s="12" t="s">
        <v>238</v>
      </c>
      <c r="B35" s="8">
        <v>110000</v>
      </c>
      <c r="C35" s="9">
        <v>80</v>
      </c>
      <c r="D35" s="49">
        <f>ROUNDUP((260*ENR!$AE$15),0)</f>
        <v>278</v>
      </c>
      <c r="E35" s="50">
        <f>ROUNDUP((350*ENR!$AE$15),0)</f>
        <v>375</v>
      </c>
      <c r="F35" s="7" t="s">
        <v>99</v>
      </c>
      <c r="G35" s="3"/>
    </row>
    <row r="36" spans="1:7" ht="12" customHeight="1">
      <c r="A36" s="7"/>
      <c r="B36" s="8"/>
      <c r="C36" s="9"/>
      <c r="D36" s="49"/>
      <c r="E36" s="50"/>
      <c r="F36" s="7"/>
      <c r="G36" s="3"/>
    </row>
    <row r="37" spans="1:7" ht="12" customHeight="1">
      <c r="A37" s="7" t="s">
        <v>9</v>
      </c>
      <c r="B37" s="8">
        <v>100000</v>
      </c>
      <c r="C37" s="9"/>
      <c r="D37" s="49">
        <f>ROUNDUP((330*ENR!$AE$15),0)</f>
        <v>353</v>
      </c>
      <c r="E37" s="50">
        <f>ROUNDUP((370*ENR!$AE$15),0)</f>
        <v>396</v>
      </c>
      <c r="F37" s="7"/>
      <c r="G37" s="3"/>
    </row>
    <row r="38" spans="1:7" ht="12" customHeight="1">
      <c r="A38" s="7"/>
      <c r="B38" s="8"/>
      <c r="C38" s="9"/>
      <c r="D38" s="49"/>
      <c r="E38" s="50"/>
      <c r="F38" s="7"/>
      <c r="G38" s="3"/>
    </row>
    <row r="39" spans="1:7" ht="12" customHeight="1">
      <c r="A39" s="73" t="s">
        <v>103</v>
      </c>
      <c r="B39" s="74"/>
      <c r="C39" s="75"/>
      <c r="D39" s="76"/>
      <c r="E39" s="77"/>
      <c r="F39" s="78"/>
      <c r="G39" s="3"/>
    </row>
    <row r="40" spans="1:7" ht="12" customHeight="1">
      <c r="A40" s="13" t="s">
        <v>239</v>
      </c>
      <c r="B40" s="8">
        <v>35000</v>
      </c>
      <c r="C40" s="9">
        <v>85</v>
      </c>
      <c r="D40" s="49">
        <f>ROUNDUP((140*ENR!$AE$15),0)</f>
        <v>150</v>
      </c>
      <c r="E40" s="50">
        <f>ROUNDUP((165*ENR!$AE$15),0)</f>
        <v>177</v>
      </c>
      <c r="F40" s="7" t="s">
        <v>10</v>
      </c>
      <c r="G40" s="3"/>
    </row>
    <row r="41" spans="1:7" ht="12" customHeight="1">
      <c r="A41" s="13" t="s">
        <v>240</v>
      </c>
      <c r="B41" s="8">
        <v>15000</v>
      </c>
      <c r="C41" s="9">
        <v>90</v>
      </c>
      <c r="D41" s="49">
        <f>ROUNDUP((110*ENR!$AE$15),0)</f>
        <v>118</v>
      </c>
      <c r="E41" s="50">
        <f>ROUNDUP((140*ENR!$AE$15),0)</f>
        <v>150</v>
      </c>
      <c r="F41" s="7" t="s">
        <v>11</v>
      </c>
      <c r="G41" s="3"/>
    </row>
    <row r="42" spans="1:7" ht="12" customHeight="1">
      <c r="A42" s="7"/>
      <c r="B42" s="8"/>
      <c r="C42" s="9"/>
      <c r="D42" s="49"/>
      <c r="E42" s="50"/>
      <c r="F42" s="7"/>
      <c r="G42" s="3"/>
    </row>
    <row r="43" spans="1:7" ht="12" customHeight="1">
      <c r="A43" s="7" t="s">
        <v>104</v>
      </c>
      <c r="B43" s="8">
        <v>25000</v>
      </c>
      <c r="C43" s="9">
        <v>85</v>
      </c>
      <c r="D43" s="49">
        <f>ROUNDUP((165*ENR!$AE$15),0)</f>
        <v>177</v>
      </c>
      <c r="E43" s="50">
        <f>ROUNDUP((195*ENR!$AE$15),0)</f>
        <v>209</v>
      </c>
      <c r="F43" s="7"/>
      <c r="G43" s="3"/>
    </row>
    <row r="44" spans="1:7" ht="12" customHeight="1">
      <c r="A44" s="7"/>
      <c r="B44" s="8"/>
      <c r="C44" s="9"/>
      <c r="D44" s="49"/>
      <c r="E44" s="50"/>
      <c r="F44" s="7"/>
      <c r="G44" s="3"/>
    </row>
    <row r="45" spans="1:7" ht="12" customHeight="1">
      <c r="A45" s="73" t="s">
        <v>105</v>
      </c>
      <c r="B45" s="74"/>
      <c r="C45" s="75"/>
      <c r="D45" s="76"/>
      <c r="E45" s="77"/>
      <c r="F45" s="78"/>
      <c r="G45" s="3"/>
    </row>
    <row r="46" spans="1:7" ht="12" customHeight="1">
      <c r="A46" s="12" t="s">
        <v>241</v>
      </c>
      <c r="B46" s="8">
        <v>4000</v>
      </c>
      <c r="C46" s="9">
        <v>95</v>
      </c>
      <c r="D46" s="49">
        <f>ROUNDUP((85*ENR!$AE$15),0)</f>
        <v>91</v>
      </c>
      <c r="E46" s="50">
        <f>ROUNDUP((115*ENR!$AE$15),0)</f>
        <v>123</v>
      </c>
      <c r="F46" s="7"/>
      <c r="G46" s="3"/>
    </row>
    <row r="47" spans="1:7" ht="12" customHeight="1">
      <c r="A47" s="12" t="s">
        <v>242</v>
      </c>
      <c r="B47" s="8">
        <v>4000</v>
      </c>
      <c r="C47" s="9">
        <v>95</v>
      </c>
      <c r="D47" s="49">
        <f>ROUNDUP((110*ENR!$AE$15),0)</f>
        <v>118</v>
      </c>
      <c r="E47" s="50">
        <f>ROUNDUP((150*ENR!$AE$15),0)</f>
        <v>161</v>
      </c>
      <c r="F47" s="7"/>
      <c r="G47" s="3"/>
    </row>
    <row r="48" spans="1:7" ht="12" customHeight="1">
      <c r="A48" s="62"/>
      <c r="B48" s="62"/>
      <c r="C48" s="63"/>
      <c r="D48" s="64"/>
      <c r="E48" s="65"/>
      <c r="F48" s="62"/>
      <c r="G48" s="3"/>
    </row>
    <row r="49" spans="1:7" ht="12" customHeight="1">
      <c r="A49" s="79" t="s">
        <v>12</v>
      </c>
      <c r="B49" s="80" t="s">
        <v>201</v>
      </c>
      <c r="C49" s="81"/>
      <c r="D49" s="571" t="s">
        <v>205</v>
      </c>
      <c r="E49" s="572"/>
      <c r="F49" s="82"/>
      <c r="G49" s="3"/>
    </row>
    <row r="50" spans="1:7" ht="12" customHeight="1">
      <c r="A50" s="66" t="s">
        <v>243</v>
      </c>
      <c r="B50" s="67" t="s">
        <v>13</v>
      </c>
      <c r="C50" s="68">
        <v>55</v>
      </c>
      <c r="D50" s="49">
        <f>ROUNDUP((17500*ENR!$AE$15),-2)</f>
        <v>18800</v>
      </c>
      <c r="E50" s="50">
        <f>ROUNDUP((22600*ENR!$AE$15),-2)</f>
        <v>24200</v>
      </c>
      <c r="F50" s="69"/>
      <c r="G50" s="3"/>
    </row>
    <row r="51" spans="1:7" ht="12" customHeight="1">
      <c r="A51" s="12" t="s">
        <v>244</v>
      </c>
      <c r="B51" s="61" t="s">
        <v>14</v>
      </c>
      <c r="C51" s="9">
        <v>52</v>
      </c>
      <c r="D51" s="49">
        <f>ROUNDUP((32000*ENR!$AE$15),-2)</f>
        <v>34300</v>
      </c>
      <c r="E51" s="50">
        <f>ROUNDUP((49500*ENR!$AE$15),-2)</f>
        <v>53000</v>
      </c>
      <c r="F51" s="7"/>
      <c r="G51" s="3"/>
    </row>
    <row r="52" spans="1:7" ht="12" customHeight="1">
      <c r="A52" s="12" t="s">
        <v>245</v>
      </c>
      <c r="B52" s="61" t="s">
        <v>15</v>
      </c>
      <c r="C52" s="9"/>
      <c r="D52" s="49">
        <f>ROUNDUP((4300*ENR!$AE$15),-2)</f>
        <v>4600</v>
      </c>
      <c r="E52" s="50">
        <f>ROUNDUP((6850*ENR!$AE$15),-2)</f>
        <v>7400</v>
      </c>
      <c r="F52" s="7"/>
      <c r="G52" s="3"/>
    </row>
    <row r="53" spans="1:7" ht="12" customHeight="1">
      <c r="A53" s="14"/>
      <c r="B53" s="14"/>
      <c r="C53" s="14"/>
      <c r="D53" s="48"/>
      <c r="E53" s="15"/>
      <c r="F53" s="14"/>
    </row>
  </sheetData>
  <sheetProtection algorithmName="SHA-512" hashValue="Om2G/E8Sop0piwXkDzwa+tjIz55RcJw0AAhwRFoCjIJLwMylWkVMl/CEWWDEf86H5695BDVP586E8J8Wi5+6fw==" saltValue="IgQXtu6I8g4OluqhBczJlA==" spinCount="100000" sheet="1" scenarios="1" selectLockedCells="1" selectUnlockedCells="1"/>
  <mergeCells count="8">
    <mergeCell ref="A1:F1"/>
    <mergeCell ref="F24:F25"/>
    <mergeCell ref="D2:E2"/>
    <mergeCell ref="D49:E49"/>
    <mergeCell ref="A2:A3"/>
    <mergeCell ref="B2:B3"/>
    <mergeCell ref="C2:C3"/>
    <mergeCell ref="F2:F3"/>
  </mergeCells>
  <printOptions horizontalCentered="1"/>
  <pageMargins left="0.25" right="0.25" top="0.5" bottom="0.5" header="0.25" footer="0.25"/>
  <pageSetup orientation="portrait" horizontalDpi="4294967292" verticalDpi="4294967292" r:id="rId1"/>
  <headerFooter>
    <oddFooter>&amp;L&amp;"Arial Narrow,Regular"&amp;8&amp;K000000&amp;D&amp;C&amp;"Arial Narrow,Regular"&amp;8&amp;K000000Construction Cost Guidelines&amp;R&amp;"Arial Narrow,Regular"&amp;8&amp;K000000page &amp;P of &amp;N</oddFooter>
  </headerFooter>
  <ignoredErrors>
    <ignoredError sqref="D6:E6 D8:E8 D10:E11 D20:E20 D22:E23 D26:E26 D32:E33 D36:E36 D38:E39 D42:E42 D44:E45 D48:E48 E49"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55C10-900F-FF42-8C0E-DAD197641AB8}">
  <sheetPr>
    <tabColor rgb="FF645C9C"/>
  </sheetPr>
  <dimension ref="A1:H192"/>
  <sheetViews>
    <sheetView showGridLines="0" view="pageLayout" zoomScaleNormal="100" workbookViewId="0">
      <selection activeCell="B3" sqref="B3:E3"/>
    </sheetView>
  </sheetViews>
  <sheetFormatPr baseColWidth="10" defaultColWidth="8.19921875" defaultRowHeight="12"/>
  <cols>
    <col min="1" max="1" width="20" customWidth="1"/>
    <col min="2" max="2" width="18" customWidth="1"/>
    <col min="3" max="3" width="11.796875" customWidth="1"/>
    <col min="4" max="4" width="13.59765625" customWidth="1"/>
    <col min="5" max="5" width="11.796875" customWidth="1"/>
    <col min="6" max="6" width="10" customWidth="1"/>
    <col min="7" max="8" width="13.59765625" customWidth="1"/>
  </cols>
  <sheetData>
    <row r="1" spans="1:8" ht="13">
      <c r="A1" s="175" t="s">
        <v>281</v>
      </c>
      <c r="B1" s="176"/>
      <c r="C1" s="176"/>
      <c r="D1" s="176"/>
      <c r="E1" s="176"/>
      <c r="F1" s="176"/>
      <c r="G1" s="176"/>
      <c r="H1" s="177" t="str">
        <f>"PROJECT BUDGET WORKSHEET GUIDE &amp; SAMPLE"&amp;" "&amp;VERSION</f>
        <v>PROJECT BUDGET WORKSHEET GUIDE &amp; SAMPLE Rev. 2025-05BR</v>
      </c>
    </row>
    <row r="2" spans="1:8" ht="6" customHeight="1">
      <c r="A2" s="83"/>
      <c r="B2" s="83"/>
      <c r="C2" s="83"/>
      <c r="D2" s="83"/>
      <c r="E2" s="83"/>
      <c r="F2" s="84" t="s">
        <v>16</v>
      </c>
      <c r="G2" s="83"/>
      <c r="H2" s="83"/>
    </row>
    <row r="3" spans="1:8">
      <c r="A3" s="85" t="s">
        <v>17</v>
      </c>
      <c r="B3" s="536" t="s">
        <v>382</v>
      </c>
      <c r="C3" s="536"/>
      <c r="D3" s="536"/>
      <c r="E3" s="536"/>
      <c r="F3" s="84" t="s">
        <v>107</v>
      </c>
      <c r="G3" s="83"/>
      <c r="H3" s="410">
        <v>45449</v>
      </c>
    </row>
    <row r="4" spans="1:8">
      <c r="A4" s="85" t="s">
        <v>74</v>
      </c>
      <c r="B4" s="409" t="s">
        <v>296</v>
      </c>
      <c r="C4" s="535"/>
      <c r="D4" s="535"/>
      <c r="E4" s="535"/>
      <c r="F4" s="84" t="s">
        <v>108</v>
      </c>
      <c r="G4" s="86"/>
      <c r="H4" s="411" t="s">
        <v>383</v>
      </c>
    </row>
    <row r="5" spans="1:8" ht="13" thickBot="1">
      <c r="A5" s="87" t="s">
        <v>349</v>
      </c>
      <c r="B5" s="409" t="s">
        <v>73</v>
      </c>
      <c r="C5" s="535"/>
      <c r="D5" s="535"/>
      <c r="E5" s="535"/>
      <c r="F5" s="83" t="s">
        <v>38</v>
      </c>
      <c r="G5" s="83"/>
      <c r="H5" s="412" t="s">
        <v>2</v>
      </c>
    </row>
    <row r="6" spans="1:8" ht="13" thickBot="1">
      <c r="A6" s="85" t="s">
        <v>347</v>
      </c>
      <c r="B6" s="409" t="s">
        <v>384</v>
      </c>
      <c r="C6" s="535"/>
      <c r="D6" s="535"/>
      <c r="E6" s="535"/>
      <c r="F6" s="85" t="s">
        <v>321</v>
      </c>
      <c r="G6" s="83"/>
      <c r="H6" s="88">
        <f>VALUE($H$180)</f>
        <v>193518000</v>
      </c>
    </row>
    <row r="7" spans="1:8" ht="6" customHeight="1">
      <c r="A7" s="83"/>
      <c r="B7" s="83"/>
      <c r="C7" s="535"/>
      <c r="D7" s="535"/>
      <c r="E7" s="535"/>
      <c r="F7" s="83"/>
      <c r="G7" s="83"/>
      <c r="H7" s="83"/>
    </row>
    <row r="8" spans="1:8">
      <c r="A8" s="85" t="s">
        <v>18</v>
      </c>
      <c r="B8" s="83"/>
      <c r="C8" s="535"/>
      <c r="D8" s="535"/>
      <c r="E8" s="535"/>
      <c r="F8" s="83"/>
      <c r="G8" s="89" t="s">
        <v>348</v>
      </c>
      <c r="H8" s="90" t="s">
        <v>109</v>
      </c>
    </row>
    <row r="9" spans="1:8">
      <c r="A9" s="84" t="s">
        <v>19</v>
      </c>
      <c r="B9" s="415">
        <f>($B$25)</f>
        <v>16665</v>
      </c>
      <c r="C9" s="83"/>
      <c r="D9" s="83"/>
      <c r="E9" s="83"/>
      <c r="F9" s="84" t="s">
        <v>45</v>
      </c>
      <c r="G9" s="312">
        <f>INDEX(ENR!$B$19:$M$99,MATCH(YEAR($H$9),ENR!$A$19:$A$99,1),MATCH(MONTH($H$9),ENR!$B$18:$M$18,1))</f>
        <v>8305.5400000000009</v>
      </c>
      <c r="H9" s="413">
        <v>45383</v>
      </c>
    </row>
    <row r="10" spans="1:8">
      <c r="A10" s="84" t="s">
        <v>20</v>
      </c>
      <c r="B10" s="416">
        <f>($D$25)</f>
        <v>25100</v>
      </c>
      <c r="C10" s="91">
        <f>IF(ISERR($B$9/$B$10),0,($B$9/$B$10))</f>
        <v>0.66394422310756973</v>
      </c>
      <c r="D10" s="83" t="s">
        <v>43</v>
      </c>
      <c r="E10" s="92" t="str">
        <f>IF($H$10&lt;$H$9,"ERROR!","")</f>
        <v/>
      </c>
      <c r="F10" s="84" t="s">
        <v>371</v>
      </c>
      <c r="G10" s="312">
        <f>INDEX(ENR!$B$19:$M$99,MATCH(YEAR($H$10),ENR!$A$19:$A$99,1),MATCH(MONTH($H$10),ENR!$B$18:$M$18,1))</f>
        <v>10558.511033012837</v>
      </c>
      <c r="H10" s="414">
        <v>47088</v>
      </c>
    </row>
    <row r="11" spans="1:8">
      <c r="A11" s="84"/>
      <c r="B11" s="93"/>
      <c r="C11" s="94"/>
      <c r="D11" s="83"/>
      <c r="E11" s="313" t="str">
        <f>(SAMPLE!$G$135)</f>
        <v>NORMAL</v>
      </c>
      <c r="F11" s="84" t="s">
        <v>372</v>
      </c>
      <c r="G11" s="83"/>
      <c r="H11" s="355">
        <f>IF($G$135="NO INFLATION",1,IF($G$135="2025-27 CBR",ENR!$L$7,($G$10/$G$9)))</f>
        <v>1.2712612344306133</v>
      </c>
    </row>
    <row r="12" spans="1:8">
      <c r="A12" s="85" t="s">
        <v>21</v>
      </c>
      <c r="B12" s="95"/>
      <c r="C12" s="86"/>
      <c r="D12" s="83"/>
      <c r="E12" s="96" t="str">
        <f>IF($H$12&lt;&gt;$H$11,"WARNING! ENR ESCALATION VALUES DO NOT MATCH!","")</f>
        <v/>
      </c>
      <c r="F12" s="84" t="s">
        <v>373</v>
      </c>
      <c r="G12" s="83"/>
      <c r="H12" s="356">
        <f>($H$11)</f>
        <v>1.2712612344306133</v>
      </c>
    </row>
    <row r="13" spans="1:8">
      <c r="A13" s="84" t="s">
        <v>22</v>
      </c>
      <c r="B13" s="415">
        <f>($D$37)</f>
        <v>50800</v>
      </c>
      <c r="C13" s="86"/>
      <c r="D13" s="83"/>
      <c r="E13" s="83"/>
      <c r="F13" s="84" t="s">
        <v>374</v>
      </c>
      <c r="G13" s="83"/>
      <c r="H13" s="355">
        <f>($H$12-$H$11)</f>
        <v>0</v>
      </c>
    </row>
    <row r="14" spans="1:8">
      <c r="A14" s="84" t="s">
        <v>23</v>
      </c>
      <c r="B14" s="416">
        <v>222222</v>
      </c>
      <c r="C14" s="91">
        <f>IF(ISERR($B$13/$B$14),0,($B$13/$B$14))</f>
        <v>0.22860022860022861</v>
      </c>
      <c r="D14" s="83" t="s">
        <v>44</v>
      </c>
      <c r="E14" s="83"/>
      <c r="F14" s="84" t="s">
        <v>309</v>
      </c>
      <c r="G14" s="313" t="str">
        <f>IF($H$180&gt;5000,((VLOOKUP($H$180,DURATION,3))/365)*(12)&amp;" months","")</f>
        <v>42 months</v>
      </c>
      <c r="H14" s="98">
        <f>IF($H$180&gt;5000,((VLOOKUP($H$180,DURATION,3))+$H$10),"")</f>
        <v>48365.5</v>
      </c>
    </row>
    <row r="15" spans="1:8" ht="6" customHeight="1" thickBot="1">
      <c r="A15" s="99"/>
      <c r="B15" s="99"/>
      <c r="C15" s="99"/>
      <c r="D15" s="99"/>
      <c r="E15" s="99"/>
      <c r="F15" s="99"/>
      <c r="G15" s="99"/>
      <c r="H15" s="99"/>
    </row>
    <row r="16" spans="1:8">
      <c r="A16" s="85" t="s">
        <v>35</v>
      </c>
      <c r="B16" s="87"/>
      <c r="C16" s="83"/>
      <c r="D16" s="83"/>
      <c r="E16" s="83"/>
      <c r="F16" s="83"/>
      <c r="G16" s="100"/>
      <c r="H16" s="83"/>
    </row>
    <row r="17" spans="1:8">
      <c r="A17" s="84" t="s">
        <v>24</v>
      </c>
      <c r="B17" s="100" t="s">
        <v>25</v>
      </c>
      <c r="C17" s="100" t="s">
        <v>26</v>
      </c>
      <c r="D17" s="101" t="s">
        <v>27</v>
      </c>
      <c r="E17" s="100" t="s">
        <v>28</v>
      </c>
      <c r="F17" s="101"/>
      <c r="G17" s="101" t="s">
        <v>1</v>
      </c>
      <c r="H17" s="83"/>
    </row>
    <row r="18" spans="1:8">
      <c r="A18" s="417" t="s">
        <v>385</v>
      </c>
      <c r="B18" s="418">
        <v>1111</v>
      </c>
      <c r="C18" s="419">
        <v>0.75</v>
      </c>
      <c r="D18" s="102">
        <f>IF($B18&gt;0,ROUND($B18/$C18,-2),0)</f>
        <v>1500</v>
      </c>
      <c r="E18" s="429">
        <v>111.11</v>
      </c>
      <c r="F18" s="103"/>
      <c r="G18" s="104">
        <f>ROUND($D18*$E18,-2)</f>
        <v>166700</v>
      </c>
      <c r="H18" s="83"/>
    </row>
    <row r="19" spans="1:8">
      <c r="A19" s="420" t="s">
        <v>386</v>
      </c>
      <c r="B19" s="421">
        <v>2222</v>
      </c>
      <c r="C19" s="422">
        <v>0.6</v>
      </c>
      <c r="D19" s="105">
        <f>IF($B19&gt;0,ROUND($B19/$C19,-2),0)</f>
        <v>3700</v>
      </c>
      <c r="E19" s="430">
        <v>222.22</v>
      </c>
      <c r="F19" s="106"/>
      <c r="G19" s="107">
        <f>ROUND($D19*$E19,-2)</f>
        <v>822200</v>
      </c>
      <c r="H19" s="83"/>
    </row>
    <row r="20" spans="1:8">
      <c r="A20" s="420" t="s">
        <v>387</v>
      </c>
      <c r="B20" s="421">
        <v>3333</v>
      </c>
      <c r="C20" s="422">
        <v>0.52</v>
      </c>
      <c r="D20" s="105">
        <f t="shared" ref="D20:D22" si="0">IF($B20&gt;0,ROUND($B20/$C20,-2),0)</f>
        <v>6400</v>
      </c>
      <c r="E20" s="430">
        <v>333.33</v>
      </c>
      <c r="F20" s="106"/>
      <c r="G20" s="107">
        <f t="shared" ref="G20:G22" si="1">ROUND($D20*$E20,-2)</f>
        <v>2133300</v>
      </c>
      <c r="H20" s="83"/>
    </row>
    <row r="21" spans="1:8">
      <c r="A21" s="423" t="s">
        <v>388</v>
      </c>
      <c r="B21" s="424">
        <v>4444</v>
      </c>
      <c r="C21" s="425">
        <v>0.67</v>
      </c>
      <c r="D21" s="108">
        <f t="shared" si="0"/>
        <v>6600</v>
      </c>
      <c r="E21" s="431">
        <v>444.44</v>
      </c>
      <c r="F21" s="109"/>
      <c r="G21" s="110">
        <f t="shared" si="1"/>
        <v>2933300</v>
      </c>
      <c r="H21" s="83"/>
    </row>
    <row r="22" spans="1:8">
      <c r="A22" s="420" t="s">
        <v>389</v>
      </c>
      <c r="B22" s="421">
        <v>5555</v>
      </c>
      <c r="C22" s="422">
        <v>0.8</v>
      </c>
      <c r="D22" s="105">
        <f t="shared" si="0"/>
        <v>6900</v>
      </c>
      <c r="E22" s="430">
        <v>555.54999999999995</v>
      </c>
      <c r="F22" s="106"/>
      <c r="G22" s="107">
        <f t="shared" si="1"/>
        <v>3833300</v>
      </c>
      <c r="H22" s="83"/>
    </row>
    <row r="23" spans="1:8">
      <c r="A23" s="420" t="s">
        <v>331</v>
      </c>
      <c r="B23" s="421">
        <v>0</v>
      </c>
      <c r="C23" s="422">
        <v>0</v>
      </c>
      <c r="D23" s="105">
        <f>IF($B23&gt;0,ROUND($B23/$C23,-2),0)</f>
        <v>0</v>
      </c>
      <c r="E23" s="430">
        <v>0</v>
      </c>
      <c r="F23" s="106"/>
      <c r="G23" s="107">
        <f>ROUND($D23*$E23,-2)</f>
        <v>0</v>
      </c>
      <c r="H23" s="83"/>
    </row>
    <row r="24" spans="1:8">
      <c r="A24" s="426" t="s">
        <v>332</v>
      </c>
      <c r="B24" s="427">
        <v>0</v>
      </c>
      <c r="C24" s="428">
        <v>0</v>
      </c>
      <c r="D24" s="102">
        <f>IF($B24&gt;0,ROUND($B24/$C24,-2),0)</f>
        <v>0</v>
      </c>
      <c r="E24" s="432">
        <v>0</v>
      </c>
      <c r="F24" s="103"/>
      <c r="G24" s="104">
        <f>ROUND($D24*$E24,-2)</f>
        <v>0</v>
      </c>
      <c r="H24" s="83"/>
    </row>
    <row r="25" spans="1:8">
      <c r="A25" s="83"/>
      <c r="B25" s="111">
        <f>SUM(B$18:B$24)</f>
        <v>16665</v>
      </c>
      <c r="C25" s="93"/>
      <c r="D25" s="111">
        <f>SUM(D$18:D$24)</f>
        <v>25100</v>
      </c>
      <c r="E25" s="107"/>
      <c r="F25" s="84" t="s">
        <v>29</v>
      </c>
      <c r="G25" s="107">
        <f>ROUND(SUM(G$18:G$24),-3)</f>
        <v>9889000</v>
      </c>
      <c r="H25" s="83"/>
    </row>
    <row r="26" spans="1:8">
      <c r="A26" s="83" t="s">
        <v>89</v>
      </c>
      <c r="B26" s="93"/>
      <c r="C26" s="93"/>
      <c r="D26" s="93"/>
      <c r="E26" s="93"/>
      <c r="F26" s="84"/>
      <c r="G26" s="93"/>
      <c r="H26" s="112">
        <f>($G$25)</f>
        <v>9889000</v>
      </c>
    </row>
    <row r="27" spans="1:8" ht="6" customHeight="1">
      <c r="A27" s="83"/>
      <c r="B27" s="93"/>
      <c r="C27" s="93"/>
      <c r="D27" s="93"/>
      <c r="E27" s="93"/>
      <c r="F27" s="84"/>
      <c r="G27" s="93"/>
      <c r="H27" s="113"/>
    </row>
    <row r="28" spans="1:8">
      <c r="A28" s="85" t="s">
        <v>36</v>
      </c>
      <c r="B28" s="87"/>
      <c r="C28" s="83"/>
      <c r="D28" s="83"/>
      <c r="E28" s="83"/>
      <c r="F28" s="83"/>
      <c r="G28" s="100"/>
      <c r="H28" s="83"/>
    </row>
    <row r="29" spans="1:8">
      <c r="A29" s="84" t="s">
        <v>24</v>
      </c>
      <c r="B29" s="100" t="s">
        <v>25</v>
      </c>
      <c r="C29" s="100" t="s">
        <v>26</v>
      </c>
      <c r="D29" s="101" t="s">
        <v>27</v>
      </c>
      <c r="E29" s="100" t="s">
        <v>28</v>
      </c>
      <c r="F29" s="101"/>
      <c r="G29" s="101" t="s">
        <v>1</v>
      </c>
      <c r="H29" s="83"/>
    </row>
    <row r="30" spans="1:8">
      <c r="A30" s="417" t="s">
        <v>386</v>
      </c>
      <c r="B30" s="418">
        <v>6666</v>
      </c>
      <c r="C30" s="419">
        <v>0.6</v>
      </c>
      <c r="D30" s="102">
        <f>IF($B30&gt;0,ROUND($B30/$C30,-2),0)</f>
        <v>11100</v>
      </c>
      <c r="E30" s="429">
        <v>666.66</v>
      </c>
      <c r="F30" s="103"/>
      <c r="G30" s="104">
        <f>ROUND($D30*$E30,-2)</f>
        <v>7399900</v>
      </c>
      <c r="H30" s="83"/>
    </row>
    <row r="31" spans="1:8">
      <c r="A31" s="420" t="s">
        <v>387</v>
      </c>
      <c r="B31" s="421">
        <v>7777</v>
      </c>
      <c r="C31" s="422">
        <v>0.52</v>
      </c>
      <c r="D31" s="105">
        <f>IF($B31&gt;0,ROUND($B31/$C31,-2),0)</f>
        <v>15000</v>
      </c>
      <c r="E31" s="430">
        <v>777.77</v>
      </c>
      <c r="F31" s="106"/>
      <c r="G31" s="107">
        <f>ROUND($D31*$E31,-2)</f>
        <v>11666600</v>
      </c>
      <c r="H31" s="83"/>
    </row>
    <row r="32" spans="1:8">
      <c r="A32" s="420" t="s">
        <v>388</v>
      </c>
      <c r="B32" s="421">
        <v>8888</v>
      </c>
      <c r="C32" s="422">
        <v>0.67</v>
      </c>
      <c r="D32" s="105">
        <f t="shared" ref="D32:D34" si="2">IF($B32&gt;0,ROUND($B32/$C32,-2),0)</f>
        <v>13300</v>
      </c>
      <c r="E32" s="430">
        <v>888.88</v>
      </c>
      <c r="F32" s="106"/>
      <c r="G32" s="107">
        <f t="shared" ref="G32:G34" si="3">ROUND($D32*$E32,-2)</f>
        <v>11822100</v>
      </c>
      <c r="H32" s="83"/>
    </row>
    <row r="33" spans="1:8">
      <c r="A33" s="423" t="s">
        <v>390</v>
      </c>
      <c r="B33" s="424">
        <v>9999</v>
      </c>
      <c r="C33" s="425">
        <v>0.88</v>
      </c>
      <c r="D33" s="108">
        <f t="shared" si="2"/>
        <v>11400</v>
      </c>
      <c r="E33" s="431">
        <v>999.99</v>
      </c>
      <c r="F33" s="109"/>
      <c r="G33" s="110">
        <f t="shared" si="3"/>
        <v>11399900</v>
      </c>
      <c r="H33" s="83"/>
    </row>
    <row r="34" spans="1:8">
      <c r="A34" s="420" t="s">
        <v>337</v>
      </c>
      <c r="B34" s="421">
        <v>0</v>
      </c>
      <c r="C34" s="422">
        <v>0</v>
      </c>
      <c r="D34" s="105">
        <f t="shared" si="2"/>
        <v>0</v>
      </c>
      <c r="E34" s="430">
        <v>0</v>
      </c>
      <c r="F34" s="106"/>
      <c r="G34" s="107">
        <f t="shared" si="3"/>
        <v>0</v>
      </c>
      <c r="H34" s="83"/>
    </row>
    <row r="35" spans="1:8">
      <c r="A35" s="420" t="s">
        <v>338</v>
      </c>
      <c r="B35" s="421">
        <v>0</v>
      </c>
      <c r="C35" s="422">
        <v>0</v>
      </c>
      <c r="D35" s="105">
        <f>IF($B35&gt;0,ROUND($B35/$C35,-2),0)</f>
        <v>0</v>
      </c>
      <c r="E35" s="430">
        <v>0</v>
      </c>
      <c r="F35" s="106"/>
      <c r="G35" s="107">
        <f>ROUND($D35*$E35,-2)</f>
        <v>0</v>
      </c>
      <c r="H35" s="83"/>
    </row>
    <row r="36" spans="1:8">
      <c r="A36" s="426" t="s">
        <v>339</v>
      </c>
      <c r="B36" s="427">
        <v>0</v>
      </c>
      <c r="C36" s="428">
        <v>0</v>
      </c>
      <c r="D36" s="102">
        <f>IF($B36&gt;0,ROUND($B36/$C36,-2),0)</f>
        <v>0</v>
      </c>
      <c r="E36" s="432">
        <v>0</v>
      </c>
      <c r="F36" s="103"/>
      <c r="G36" s="104">
        <f>ROUND($D36*$E36,-2)</f>
        <v>0</v>
      </c>
      <c r="H36" s="83"/>
    </row>
    <row r="37" spans="1:8">
      <c r="A37" s="83"/>
      <c r="B37" s="111">
        <f>SUM(B$30:B$36)</f>
        <v>33330</v>
      </c>
      <c r="C37" s="93"/>
      <c r="D37" s="111">
        <f>SUM(D$30:D$36)</f>
        <v>50800</v>
      </c>
      <c r="E37" s="93"/>
      <c r="F37" s="84" t="s">
        <v>29</v>
      </c>
      <c r="G37" s="107">
        <f>ROUND(SUM(G$30:G$36),-3)</f>
        <v>42289000</v>
      </c>
      <c r="H37" s="112">
        <f>($G$37)</f>
        <v>42289000</v>
      </c>
    </row>
    <row r="38" spans="1:8">
      <c r="A38" s="87" t="s">
        <v>37</v>
      </c>
      <c r="B38" s="93"/>
      <c r="C38" s="93"/>
      <c r="D38" s="93"/>
      <c r="E38" s="93"/>
      <c r="F38" s="83"/>
      <c r="G38" s="100"/>
      <c r="H38" s="93"/>
    </row>
    <row r="39" spans="1:8">
      <c r="A39" s="114" t="s">
        <v>30</v>
      </c>
      <c r="B39" s="83"/>
      <c r="C39" s="83"/>
      <c r="D39" s="101" t="s">
        <v>27</v>
      </c>
      <c r="E39" s="101" t="s">
        <v>28</v>
      </c>
      <c r="F39" s="101" t="s">
        <v>278</v>
      </c>
      <c r="G39" s="101" t="s">
        <v>0</v>
      </c>
      <c r="H39" s="83"/>
    </row>
    <row r="40" spans="1:8">
      <c r="A40" s="115" t="s">
        <v>31</v>
      </c>
      <c r="B40" s="116" t="s">
        <v>64</v>
      </c>
      <c r="C40" s="117"/>
      <c r="D40" s="117"/>
      <c r="E40" s="117"/>
      <c r="F40" s="117"/>
      <c r="G40" s="117"/>
      <c r="H40" s="83"/>
    </row>
    <row r="41" spans="1:8">
      <c r="A41" s="118" t="s">
        <v>265</v>
      </c>
      <c r="B41" s="533" t="s">
        <v>391</v>
      </c>
      <c r="C41" s="534"/>
      <c r="D41" s="433">
        <v>8888</v>
      </c>
      <c r="E41" s="434">
        <v>8.18</v>
      </c>
      <c r="F41" s="119">
        <f>ROUNDUP((10*ENR!$S$15),0)</f>
        <v>17</v>
      </c>
      <c r="G41" s="107">
        <f>ROUND($D41*$E41,-2)</f>
        <v>72700</v>
      </c>
      <c r="H41" s="120"/>
    </row>
    <row r="42" spans="1:8">
      <c r="A42" s="118" t="s">
        <v>266</v>
      </c>
      <c r="B42" s="533" t="s">
        <v>73</v>
      </c>
      <c r="C42" s="534"/>
      <c r="D42" s="435">
        <v>0</v>
      </c>
      <c r="E42" s="436">
        <f t="shared" ref="E42:E44" si="4">($F42)</f>
        <v>59</v>
      </c>
      <c r="F42" s="119">
        <f>ROUNDUP((35*ENR!$S$15),0)</f>
        <v>59</v>
      </c>
      <c r="G42" s="107">
        <f>ROUND($D42*$E42,-2)</f>
        <v>0</v>
      </c>
      <c r="H42" s="83"/>
    </row>
    <row r="43" spans="1:8">
      <c r="A43" s="118" t="s">
        <v>267</v>
      </c>
      <c r="B43" s="533" t="s">
        <v>73</v>
      </c>
      <c r="C43" s="534"/>
      <c r="D43" s="435">
        <v>8888</v>
      </c>
      <c r="E43" s="436">
        <f t="shared" si="4"/>
        <v>99</v>
      </c>
      <c r="F43" s="119">
        <f>ROUNDUP((58.5*ENR!$S$15),0)</f>
        <v>99</v>
      </c>
      <c r="G43" s="107">
        <f>ROUND($D43*$E43,-2)</f>
        <v>879900</v>
      </c>
      <c r="H43" s="83"/>
    </row>
    <row r="44" spans="1:8">
      <c r="A44" s="118" t="s">
        <v>268</v>
      </c>
      <c r="B44" s="533" t="s">
        <v>73</v>
      </c>
      <c r="C44" s="534"/>
      <c r="D44" s="437">
        <v>0</v>
      </c>
      <c r="E44" s="438">
        <f t="shared" si="4"/>
        <v>118</v>
      </c>
      <c r="F44" s="119">
        <f>ROUNDUP((70*ENR!$S$15),0)</f>
        <v>118</v>
      </c>
      <c r="G44" s="107">
        <f>ROUND($D44*$E44,-2)</f>
        <v>0</v>
      </c>
      <c r="H44" s="83"/>
    </row>
    <row r="45" spans="1:8">
      <c r="A45" s="115" t="s">
        <v>32</v>
      </c>
      <c r="B45" s="117"/>
      <c r="C45" s="117"/>
      <c r="D45" s="121"/>
      <c r="E45" s="122"/>
      <c r="F45" s="122"/>
      <c r="G45" s="123"/>
      <c r="H45" s="83"/>
    </row>
    <row r="46" spans="1:8">
      <c r="A46" s="118" t="s">
        <v>266</v>
      </c>
      <c r="B46" s="533" t="s">
        <v>73</v>
      </c>
      <c r="C46" s="534"/>
      <c r="D46" s="433">
        <v>0</v>
      </c>
      <c r="E46" s="434">
        <f t="shared" ref="E46:E49" si="5">($F46)</f>
        <v>19</v>
      </c>
      <c r="F46" s="119">
        <f>ROUNDUP((11.25*ENR!$S$15),0)</f>
        <v>19</v>
      </c>
      <c r="G46" s="107">
        <f>ROUND($D46*$E46,-2)</f>
        <v>0</v>
      </c>
      <c r="H46" s="83"/>
    </row>
    <row r="47" spans="1:8">
      <c r="A47" s="118" t="s">
        <v>267</v>
      </c>
      <c r="B47" s="533" t="s">
        <v>392</v>
      </c>
      <c r="C47" s="534"/>
      <c r="D47" s="435">
        <v>8888</v>
      </c>
      <c r="E47" s="436">
        <v>33.33</v>
      </c>
      <c r="F47" s="119">
        <f>ROUNDUP((19.5*ENR!$S$15),0)</f>
        <v>33</v>
      </c>
      <c r="G47" s="107">
        <f>ROUND($D47*$E47,-2)</f>
        <v>296200</v>
      </c>
      <c r="H47" s="83"/>
    </row>
    <row r="48" spans="1:8">
      <c r="A48" s="118" t="s">
        <v>268</v>
      </c>
      <c r="B48" s="533" t="s">
        <v>73</v>
      </c>
      <c r="C48" s="534"/>
      <c r="D48" s="435">
        <v>0</v>
      </c>
      <c r="E48" s="436">
        <f t="shared" si="5"/>
        <v>37</v>
      </c>
      <c r="F48" s="119">
        <f>ROUNDUP((22*ENR!$S$15),0)</f>
        <v>37</v>
      </c>
      <c r="G48" s="107">
        <f>ROUND($D48*$E48,-2)</f>
        <v>0</v>
      </c>
      <c r="H48" s="83"/>
    </row>
    <row r="49" spans="1:8">
      <c r="A49" s="118" t="s">
        <v>269</v>
      </c>
      <c r="B49" s="533" t="s">
        <v>73</v>
      </c>
      <c r="C49" s="534"/>
      <c r="D49" s="437">
        <v>0</v>
      </c>
      <c r="E49" s="438">
        <f t="shared" si="5"/>
        <v>70</v>
      </c>
      <c r="F49" s="119">
        <f>ROUNDUP((41.5*ENR!$S$15),0)</f>
        <v>70</v>
      </c>
      <c r="G49" s="107">
        <f>ROUND($D49*$E49,-2)</f>
        <v>0</v>
      </c>
      <c r="H49" s="83"/>
    </row>
    <row r="50" spans="1:8">
      <c r="A50" s="115" t="s">
        <v>270</v>
      </c>
      <c r="B50" s="117"/>
      <c r="C50" s="117"/>
      <c r="D50" s="121"/>
      <c r="E50" s="122"/>
      <c r="F50" s="122"/>
      <c r="G50" s="123"/>
      <c r="H50" s="83"/>
    </row>
    <row r="51" spans="1:8">
      <c r="A51" s="118" t="s">
        <v>266</v>
      </c>
      <c r="B51" s="533" t="s">
        <v>73</v>
      </c>
      <c r="C51" s="534"/>
      <c r="D51" s="433">
        <v>0</v>
      </c>
      <c r="E51" s="434">
        <f t="shared" ref="E51:E53" si="6">($F51)</f>
        <v>26</v>
      </c>
      <c r="F51" s="119">
        <f>ROUNDUP((15*ENR!$S$15),0)</f>
        <v>26</v>
      </c>
      <c r="G51" s="107">
        <f>ROUND($D51*$E51,-2)</f>
        <v>0</v>
      </c>
      <c r="H51" s="83"/>
    </row>
    <row r="52" spans="1:8">
      <c r="A52" s="118" t="s">
        <v>267</v>
      </c>
      <c r="B52" s="533" t="s">
        <v>73</v>
      </c>
      <c r="C52" s="534"/>
      <c r="D52" s="435">
        <v>0</v>
      </c>
      <c r="E52" s="436">
        <f t="shared" si="6"/>
        <v>54</v>
      </c>
      <c r="F52" s="119">
        <f>ROUNDUP((32*ENR!$S$15),0)</f>
        <v>54</v>
      </c>
      <c r="G52" s="107">
        <f>ROUND($D52*$E52,-2)</f>
        <v>0</v>
      </c>
      <c r="H52" s="83"/>
    </row>
    <row r="53" spans="1:8">
      <c r="A53" s="118" t="s">
        <v>268</v>
      </c>
      <c r="B53" s="533" t="s">
        <v>393</v>
      </c>
      <c r="C53" s="534"/>
      <c r="D53" s="437">
        <v>88888</v>
      </c>
      <c r="E53" s="438">
        <f t="shared" si="6"/>
        <v>81</v>
      </c>
      <c r="F53" s="119">
        <f>ROUNDUP((48*ENR!$S$15),0)</f>
        <v>81</v>
      </c>
      <c r="G53" s="107">
        <f>ROUND($D53*$E53,-2)</f>
        <v>7199900</v>
      </c>
      <c r="H53" s="83"/>
    </row>
    <row r="54" spans="1:8">
      <c r="A54" s="115" t="s">
        <v>271</v>
      </c>
      <c r="B54" s="117"/>
      <c r="C54" s="117"/>
      <c r="D54" s="121"/>
      <c r="E54" s="122"/>
      <c r="F54" s="122"/>
      <c r="G54" s="123"/>
      <c r="H54" s="83"/>
    </row>
    <row r="55" spans="1:8">
      <c r="A55" s="118" t="s">
        <v>266</v>
      </c>
      <c r="B55" s="533" t="s">
        <v>73</v>
      </c>
      <c r="C55" s="534"/>
      <c r="D55" s="433">
        <v>0</v>
      </c>
      <c r="E55" s="434">
        <f t="shared" ref="E55:E57" si="7">($F55)</f>
        <v>21</v>
      </c>
      <c r="F55" s="119">
        <f>ROUNDUP((12*ENR!$S$15),0)</f>
        <v>21</v>
      </c>
      <c r="G55" s="107">
        <f>ROUND($D55*$E55,-2)</f>
        <v>0</v>
      </c>
      <c r="H55" s="83"/>
    </row>
    <row r="56" spans="1:8">
      <c r="A56" s="118" t="s">
        <v>267</v>
      </c>
      <c r="B56" s="533" t="s">
        <v>73</v>
      </c>
      <c r="C56" s="534"/>
      <c r="D56" s="435">
        <v>0</v>
      </c>
      <c r="E56" s="436">
        <f t="shared" si="7"/>
        <v>36</v>
      </c>
      <c r="F56" s="119">
        <f>ROUNDUP((21*ENR!$S$15),0)</f>
        <v>36</v>
      </c>
      <c r="G56" s="107">
        <f>ROUND($D56*$E56,-2)</f>
        <v>0</v>
      </c>
      <c r="H56" s="83"/>
    </row>
    <row r="57" spans="1:8">
      <c r="A57" s="118" t="s">
        <v>268</v>
      </c>
      <c r="B57" s="533" t="s">
        <v>73</v>
      </c>
      <c r="C57" s="534"/>
      <c r="D57" s="437">
        <v>88888</v>
      </c>
      <c r="E57" s="438">
        <f t="shared" si="7"/>
        <v>46</v>
      </c>
      <c r="F57" s="119">
        <f>ROUNDUP((27*ENR!$S$15),0)</f>
        <v>46</v>
      </c>
      <c r="G57" s="107">
        <f>ROUND($D57*$E57,-2)</f>
        <v>4088800</v>
      </c>
      <c r="H57" s="83"/>
    </row>
    <row r="58" spans="1:8">
      <c r="A58" s="83"/>
      <c r="B58" s="83"/>
      <c r="C58" s="83"/>
      <c r="D58" s="83"/>
      <c r="E58" s="83"/>
      <c r="F58" s="84" t="s">
        <v>29</v>
      </c>
      <c r="G58" s="111">
        <f>ROUND(SUM(G$41:G$44,G$46:G$49,G$51:G$53,G$55:G$57),-3)</f>
        <v>12538000</v>
      </c>
      <c r="H58" s="83"/>
    </row>
    <row r="59" spans="1:8">
      <c r="A59" s="83" t="s">
        <v>310</v>
      </c>
      <c r="B59" s="83"/>
      <c r="C59" s="83"/>
      <c r="D59" s="83"/>
      <c r="E59" s="83"/>
      <c r="F59" s="84"/>
      <c r="G59" s="124" t="str">
        <f>IF(AND($G$37&gt;0,$G$58&gt;0),"ERROR?","")</f>
        <v>ERROR?</v>
      </c>
      <c r="H59" s="112">
        <f>($G$58)</f>
        <v>12538000</v>
      </c>
    </row>
    <row r="60" spans="1:8" ht="6" customHeight="1" thickBot="1">
      <c r="A60" s="83"/>
      <c r="B60" s="83"/>
      <c r="C60" s="83"/>
      <c r="D60" s="83"/>
      <c r="E60" s="83"/>
      <c r="F60" s="84"/>
      <c r="G60" s="93"/>
      <c r="H60" s="83"/>
    </row>
    <row r="61" spans="1:8" ht="13" thickBot="1">
      <c r="A61" s="125" t="s">
        <v>88</v>
      </c>
      <c r="B61" s="126"/>
      <c r="C61" s="126"/>
      <c r="D61" s="126"/>
      <c r="E61" s="126"/>
      <c r="F61" s="126"/>
      <c r="G61" s="127"/>
      <c r="H61" s="88">
        <f>ROUND(($H$26+$H$37+$H$59),-3)</f>
        <v>64716000</v>
      </c>
    </row>
    <row r="62" spans="1:8">
      <c r="A62" s="83" t="str">
        <f>$A$3</f>
        <v xml:space="preserve">PROJECT TITLE:  </v>
      </c>
      <c r="B62" s="87" t="str">
        <f>IF($B$3="","",$B$3)</f>
        <v>OLD MAIN MEMORIAL HALL ADDITION &amp; RENOVATION - PHASE VIII + ALTERNATE X</v>
      </c>
      <c r="C62" s="83"/>
      <c r="D62" s="83"/>
      <c r="E62" s="83"/>
      <c r="F62" s="83"/>
      <c r="G62" s="83"/>
      <c r="H62" s="83"/>
    </row>
    <row r="63" spans="1:8">
      <c r="A63" s="84" t="str">
        <f>(($A$61)&amp;" (from page 1)")</f>
        <v>NEW CONSTRUCTION &amp; REMODELING COST SUBTOTAL (from page 1)</v>
      </c>
      <c r="B63" s="83"/>
      <c r="C63" s="83"/>
      <c r="D63" s="87"/>
      <c r="E63" s="87"/>
      <c r="F63" s="87"/>
      <c r="G63" s="100"/>
      <c r="H63" s="107">
        <f>VALUE($H$61)</f>
        <v>64716000</v>
      </c>
    </row>
    <row r="64" spans="1:8">
      <c r="A64" s="85" t="s">
        <v>58</v>
      </c>
      <c r="B64" s="83"/>
      <c r="C64" s="83"/>
      <c r="D64" s="87"/>
      <c r="E64" s="87"/>
      <c r="F64" s="87"/>
      <c r="G64" s="85"/>
      <c r="H64" s="128"/>
    </row>
    <row r="65" spans="1:8" ht="6" customHeight="1">
      <c r="A65" s="83"/>
      <c r="B65" s="83"/>
      <c r="C65" s="83"/>
      <c r="D65" s="83"/>
      <c r="E65" s="83"/>
      <c r="F65" s="83"/>
      <c r="G65" s="83"/>
      <c r="H65" s="83"/>
    </row>
    <row r="66" spans="1:8">
      <c r="A66" s="114" t="s">
        <v>62</v>
      </c>
      <c r="B66" s="537" t="s">
        <v>63</v>
      </c>
      <c r="C66" s="537"/>
      <c r="D66" s="537"/>
      <c r="E66" s="129" t="s">
        <v>46</v>
      </c>
      <c r="F66" s="129" t="s">
        <v>49</v>
      </c>
      <c r="G66" s="129" t="s">
        <v>47</v>
      </c>
      <c r="H66" s="130" t="s">
        <v>48</v>
      </c>
    </row>
    <row r="67" spans="1:8">
      <c r="A67" s="131" t="s">
        <v>59</v>
      </c>
      <c r="B67" s="538" t="s">
        <v>90</v>
      </c>
      <c r="C67" s="538"/>
      <c r="D67" s="538"/>
      <c r="E67" s="390">
        <v>88888</v>
      </c>
      <c r="F67" s="132" t="s">
        <v>27</v>
      </c>
      <c r="G67" s="350">
        <f>(15*ENR!$Y$15)</f>
        <v>21.149843370164376</v>
      </c>
      <c r="H67" s="357">
        <f>ROUND(($E$67*$G$67),-3)</f>
        <v>1880000</v>
      </c>
    </row>
    <row r="68" spans="1:8">
      <c r="A68" s="135"/>
      <c r="B68" s="136"/>
      <c r="C68" s="136"/>
      <c r="D68" s="136"/>
      <c r="E68" s="137"/>
      <c r="F68" s="138"/>
      <c r="G68" s="139"/>
      <c r="H68" s="111"/>
    </row>
    <row r="69" spans="1:8">
      <c r="A69" s="526" t="s">
        <v>100</v>
      </c>
      <c r="B69" s="527"/>
      <c r="C69" s="527"/>
      <c r="D69" s="527"/>
      <c r="E69" s="527"/>
      <c r="F69" s="527"/>
      <c r="G69" s="528"/>
      <c r="H69" s="140"/>
    </row>
    <row r="70" spans="1:8">
      <c r="A70" s="439" t="s">
        <v>110</v>
      </c>
      <c r="B70" s="440"/>
      <c r="C70" s="440"/>
      <c r="D70" s="440"/>
      <c r="E70" s="441"/>
      <c r="F70" s="442"/>
      <c r="G70" s="443"/>
      <c r="H70" s="140">
        <f>ROUND(($E70*$G70),-2)</f>
        <v>0</v>
      </c>
    </row>
    <row r="71" spans="1:8">
      <c r="A71" s="444"/>
      <c r="B71" s="440" t="s">
        <v>395</v>
      </c>
      <c r="C71" s="440"/>
      <c r="D71" s="440"/>
      <c r="E71" s="441">
        <v>1.1100000000000001</v>
      </c>
      <c r="F71" s="442" t="s">
        <v>177</v>
      </c>
      <c r="G71" s="443">
        <v>111.11</v>
      </c>
      <c r="H71" s="140">
        <f t="shared" ref="H71:H103" si="8">ROUND(($E71*$G71),-2)</f>
        <v>100</v>
      </c>
    </row>
    <row r="72" spans="1:8">
      <c r="A72" s="445"/>
      <c r="B72" s="440" t="s">
        <v>396</v>
      </c>
      <c r="C72" s="440"/>
      <c r="D72" s="440"/>
      <c r="E72" s="441">
        <v>22.22</v>
      </c>
      <c r="F72" s="442" t="s">
        <v>94</v>
      </c>
      <c r="G72" s="443">
        <v>222.22</v>
      </c>
      <c r="H72" s="140">
        <f t="shared" si="8"/>
        <v>4900</v>
      </c>
    </row>
    <row r="73" spans="1:8">
      <c r="A73" s="445"/>
      <c r="B73" s="440" t="s">
        <v>397</v>
      </c>
      <c r="C73" s="440"/>
      <c r="D73" s="440"/>
      <c r="E73" s="441">
        <v>33.33</v>
      </c>
      <c r="F73" s="442" t="s">
        <v>27</v>
      </c>
      <c r="G73" s="443">
        <v>33.33</v>
      </c>
      <c r="H73" s="140">
        <f t="shared" si="8"/>
        <v>1100</v>
      </c>
    </row>
    <row r="74" spans="1:8">
      <c r="A74" s="446" t="s">
        <v>111</v>
      </c>
      <c r="B74" s="447"/>
      <c r="C74" s="448"/>
      <c r="D74" s="449"/>
      <c r="E74" s="450"/>
      <c r="F74" s="451"/>
      <c r="G74" s="452"/>
      <c r="H74" s="140">
        <f t="shared" si="8"/>
        <v>0</v>
      </c>
    </row>
    <row r="75" spans="1:8">
      <c r="A75" s="444"/>
      <c r="B75" s="453" t="s">
        <v>398</v>
      </c>
      <c r="C75" s="440"/>
      <c r="D75" s="454"/>
      <c r="E75" s="441">
        <v>4444.4399999999996</v>
      </c>
      <c r="F75" s="442" t="s">
        <v>95</v>
      </c>
      <c r="G75" s="443">
        <v>444.44</v>
      </c>
      <c r="H75" s="140">
        <f t="shared" si="8"/>
        <v>1975300</v>
      </c>
    </row>
    <row r="76" spans="1:8">
      <c r="A76" s="445"/>
      <c r="B76" s="453" t="s">
        <v>399</v>
      </c>
      <c r="C76" s="440"/>
      <c r="D76" s="454"/>
      <c r="E76" s="441">
        <v>55555.55</v>
      </c>
      <c r="F76" s="442" t="s">
        <v>50</v>
      </c>
      <c r="G76" s="443">
        <v>55.55</v>
      </c>
      <c r="H76" s="140">
        <f t="shared" si="8"/>
        <v>3086100</v>
      </c>
    </row>
    <row r="77" spans="1:8">
      <c r="A77" s="444"/>
      <c r="B77" s="453" t="s">
        <v>400</v>
      </c>
      <c r="C77" s="440"/>
      <c r="D77" s="454"/>
      <c r="E77" s="441">
        <v>666666.66</v>
      </c>
      <c r="F77" s="442" t="s">
        <v>409</v>
      </c>
      <c r="G77" s="443">
        <v>6.66</v>
      </c>
      <c r="H77" s="140">
        <f t="shared" si="8"/>
        <v>4440000</v>
      </c>
    </row>
    <row r="78" spans="1:8">
      <c r="A78" s="444"/>
      <c r="B78" s="453" t="s">
        <v>401</v>
      </c>
      <c r="C78" s="440"/>
      <c r="D78" s="454"/>
      <c r="E78" s="441">
        <v>7777777.7699999996</v>
      </c>
      <c r="F78" s="442" t="s">
        <v>410</v>
      </c>
      <c r="G78" s="443">
        <v>7.0000000000000007E-2</v>
      </c>
      <c r="H78" s="140">
        <f t="shared" si="8"/>
        <v>544400</v>
      </c>
    </row>
    <row r="79" spans="1:8">
      <c r="A79" s="455" t="s">
        <v>394</v>
      </c>
      <c r="B79" s="447"/>
      <c r="C79" s="448"/>
      <c r="D79" s="449"/>
      <c r="E79" s="450"/>
      <c r="F79" s="451"/>
      <c r="G79" s="452"/>
      <c r="H79" s="140">
        <f t="shared" si="8"/>
        <v>0</v>
      </c>
    </row>
    <row r="80" spans="1:8">
      <c r="A80" s="445"/>
      <c r="B80" s="453" t="s">
        <v>402</v>
      </c>
      <c r="C80" s="440"/>
      <c r="D80" s="454"/>
      <c r="E80" s="441">
        <v>8.8800000000000008</v>
      </c>
      <c r="F80" s="442" t="s">
        <v>95</v>
      </c>
      <c r="G80" s="443">
        <v>8888.8799999999992</v>
      </c>
      <c r="H80" s="140">
        <f t="shared" si="8"/>
        <v>78900</v>
      </c>
    </row>
    <row r="81" spans="1:8">
      <c r="A81" s="445"/>
      <c r="B81" s="453" t="s">
        <v>403</v>
      </c>
      <c r="C81" s="440"/>
      <c r="D81" s="454"/>
      <c r="E81" s="441">
        <v>999.99</v>
      </c>
      <c r="F81" s="442" t="s">
        <v>25</v>
      </c>
      <c r="G81" s="443">
        <v>333.33</v>
      </c>
      <c r="H81" s="140">
        <f t="shared" si="8"/>
        <v>333300</v>
      </c>
    </row>
    <row r="82" spans="1:8">
      <c r="A82" s="445"/>
      <c r="B82" s="453" t="s">
        <v>404</v>
      </c>
      <c r="C82" s="440"/>
      <c r="D82" s="454"/>
      <c r="E82" s="441">
        <v>1111.1099999999999</v>
      </c>
      <c r="F82" s="442" t="s">
        <v>176</v>
      </c>
      <c r="G82" s="443">
        <v>111.11</v>
      </c>
      <c r="H82" s="140">
        <f t="shared" si="8"/>
        <v>123500</v>
      </c>
    </row>
    <row r="83" spans="1:8">
      <c r="A83" s="445"/>
      <c r="B83" s="453" t="s">
        <v>405</v>
      </c>
      <c r="C83" s="440"/>
      <c r="D83" s="454"/>
      <c r="E83" s="441">
        <v>22222.22</v>
      </c>
      <c r="F83" s="442" t="s">
        <v>51</v>
      </c>
      <c r="G83" s="443">
        <v>22.22</v>
      </c>
      <c r="H83" s="140">
        <f t="shared" si="8"/>
        <v>493800</v>
      </c>
    </row>
    <row r="84" spans="1:8">
      <c r="A84" s="455"/>
      <c r="B84" s="447"/>
      <c r="C84" s="448"/>
      <c r="D84" s="449"/>
      <c r="E84" s="450"/>
      <c r="F84" s="451"/>
      <c r="G84" s="452"/>
      <c r="H84" s="140">
        <f t="shared" si="8"/>
        <v>0</v>
      </c>
    </row>
    <row r="85" spans="1:8">
      <c r="A85" s="445"/>
      <c r="B85" s="453"/>
      <c r="C85" s="440"/>
      <c r="D85" s="454"/>
      <c r="E85" s="441"/>
      <c r="F85" s="442"/>
      <c r="G85" s="443"/>
      <c r="H85" s="140">
        <f t="shared" si="8"/>
        <v>0</v>
      </c>
    </row>
    <row r="86" spans="1:8">
      <c r="A86" s="445"/>
      <c r="B86" s="453"/>
      <c r="C86" s="440" t="s">
        <v>406</v>
      </c>
      <c r="D86" s="454"/>
      <c r="E86" s="441"/>
      <c r="F86" s="442"/>
      <c r="G86" s="443"/>
      <c r="H86" s="140">
        <f t="shared" si="8"/>
        <v>0</v>
      </c>
    </row>
    <row r="87" spans="1:8">
      <c r="A87" s="445"/>
      <c r="B87" s="453"/>
      <c r="C87" s="440"/>
      <c r="D87" s="454"/>
      <c r="E87" s="441"/>
      <c r="F87" s="442"/>
      <c r="G87" s="443"/>
      <c r="H87" s="140">
        <f t="shared" si="8"/>
        <v>0</v>
      </c>
    </row>
    <row r="88" spans="1:8">
      <c r="A88" s="445"/>
      <c r="B88" s="453"/>
      <c r="C88" s="440"/>
      <c r="D88" s="454"/>
      <c r="E88" s="441"/>
      <c r="F88" s="442"/>
      <c r="G88" s="443"/>
      <c r="H88" s="140">
        <f t="shared" si="8"/>
        <v>0</v>
      </c>
    </row>
    <row r="89" spans="1:8">
      <c r="A89" s="455" t="s">
        <v>407</v>
      </c>
      <c r="B89" s="447" t="s">
        <v>408</v>
      </c>
      <c r="C89" s="448"/>
      <c r="D89" s="449"/>
      <c r="E89" s="450">
        <v>1</v>
      </c>
      <c r="F89" s="451" t="s">
        <v>50</v>
      </c>
      <c r="G89" s="452">
        <v>8888888.8800000008</v>
      </c>
      <c r="H89" s="140">
        <f t="shared" si="8"/>
        <v>8888900</v>
      </c>
    </row>
    <row r="90" spans="1:8">
      <c r="A90" s="445"/>
      <c r="B90" s="453"/>
      <c r="C90" s="440"/>
      <c r="D90" s="454"/>
      <c r="E90" s="441"/>
      <c r="F90" s="442"/>
      <c r="G90" s="443"/>
      <c r="H90" s="140">
        <f t="shared" si="8"/>
        <v>0</v>
      </c>
    </row>
    <row r="91" spans="1:8">
      <c r="A91" s="445"/>
      <c r="B91" s="453"/>
      <c r="C91" s="440"/>
      <c r="D91" s="454"/>
      <c r="E91" s="441"/>
      <c r="F91" s="442"/>
      <c r="G91" s="443"/>
      <c r="H91" s="140">
        <f t="shared" si="8"/>
        <v>0</v>
      </c>
    </row>
    <row r="92" spans="1:8">
      <c r="A92" s="445"/>
      <c r="B92" s="453"/>
      <c r="C92" s="440"/>
      <c r="D92" s="454"/>
      <c r="E92" s="441"/>
      <c r="F92" s="442"/>
      <c r="G92" s="443"/>
      <c r="H92" s="140">
        <f t="shared" si="8"/>
        <v>0</v>
      </c>
    </row>
    <row r="93" spans="1:8">
      <c r="A93" s="445"/>
      <c r="B93" s="453"/>
      <c r="C93" s="440"/>
      <c r="D93" s="454"/>
      <c r="E93" s="441"/>
      <c r="F93" s="442"/>
      <c r="G93" s="443"/>
      <c r="H93" s="140">
        <f t="shared" si="8"/>
        <v>0</v>
      </c>
    </row>
    <row r="94" spans="1:8">
      <c r="A94" s="455"/>
      <c r="B94" s="447"/>
      <c r="C94" s="448"/>
      <c r="D94" s="449"/>
      <c r="E94" s="450"/>
      <c r="F94" s="451"/>
      <c r="G94" s="452"/>
      <c r="H94" s="140">
        <f t="shared" si="8"/>
        <v>0</v>
      </c>
    </row>
    <row r="95" spans="1:8">
      <c r="A95" s="445"/>
      <c r="B95" s="453"/>
      <c r="C95" s="440"/>
      <c r="D95" s="454"/>
      <c r="E95" s="441"/>
      <c r="F95" s="442"/>
      <c r="G95" s="443"/>
      <c r="H95" s="140">
        <f t="shared" si="8"/>
        <v>0</v>
      </c>
    </row>
    <row r="96" spans="1:8">
      <c r="A96" s="445"/>
      <c r="B96" s="453"/>
      <c r="C96" s="440"/>
      <c r="D96" s="454"/>
      <c r="E96" s="441"/>
      <c r="F96" s="442"/>
      <c r="G96" s="443"/>
      <c r="H96" s="140">
        <f t="shared" si="8"/>
        <v>0</v>
      </c>
    </row>
    <row r="97" spans="1:8">
      <c r="A97" s="445"/>
      <c r="B97" s="453"/>
      <c r="C97" s="440"/>
      <c r="D97" s="454"/>
      <c r="E97" s="441"/>
      <c r="F97" s="442"/>
      <c r="G97" s="443"/>
      <c r="H97" s="140">
        <f t="shared" si="8"/>
        <v>0</v>
      </c>
    </row>
    <row r="98" spans="1:8">
      <c r="A98" s="445"/>
      <c r="B98" s="453"/>
      <c r="C98" s="440"/>
      <c r="D98" s="454"/>
      <c r="E98" s="441"/>
      <c r="F98" s="442"/>
      <c r="G98" s="443"/>
      <c r="H98" s="140">
        <f t="shared" si="8"/>
        <v>0</v>
      </c>
    </row>
    <row r="99" spans="1:8">
      <c r="A99" s="455"/>
      <c r="B99" s="447"/>
      <c r="C99" s="448"/>
      <c r="D99" s="449"/>
      <c r="E99" s="450"/>
      <c r="F99" s="451"/>
      <c r="G99" s="452"/>
      <c r="H99" s="140">
        <f t="shared" si="8"/>
        <v>0</v>
      </c>
    </row>
    <row r="100" spans="1:8">
      <c r="A100" s="444"/>
      <c r="B100" s="453"/>
      <c r="C100" s="440"/>
      <c r="D100" s="454"/>
      <c r="E100" s="441"/>
      <c r="F100" s="442"/>
      <c r="G100" s="443"/>
      <c r="H100" s="140">
        <f t="shared" si="8"/>
        <v>0</v>
      </c>
    </row>
    <row r="101" spans="1:8">
      <c r="A101" s="444"/>
      <c r="B101" s="453"/>
      <c r="C101" s="440"/>
      <c r="D101" s="454"/>
      <c r="E101" s="441"/>
      <c r="F101" s="442"/>
      <c r="G101" s="443"/>
      <c r="H101" s="140">
        <f t="shared" si="8"/>
        <v>0</v>
      </c>
    </row>
    <row r="102" spans="1:8">
      <c r="A102" s="445"/>
      <c r="B102" s="453"/>
      <c r="C102" s="440"/>
      <c r="D102" s="454"/>
      <c r="E102" s="441"/>
      <c r="F102" s="442"/>
      <c r="G102" s="443"/>
      <c r="H102" s="140">
        <f t="shared" si="8"/>
        <v>0</v>
      </c>
    </row>
    <row r="103" spans="1:8">
      <c r="A103" s="456"/>
      <c r="B103" s="457"/>
      <c r="C103" s="458"/>
      <c r="D103" s="459"/>
      <c r="E103" s="460"/>
      <c r="F103" s="461"/>
      <c r="G103" s="462"/>
      <c r="H103" s="140">
        <f t="shared" si="8"/>
        <v>0</v>
      </c>
    </row>
    <row r="104" spans="1:8">
      <c r="A104" s="532" t="s">
        <v>58</v>
      </c>
      <c r="B104" s="532"/>
      <c r="C104" s="532"/>
      <c r="D104" s="532"/>
      <c r="E104" s="532"/>
      <c r="F104" s="532"/>
      <c r="G104" s="532"/>
      <c r="H104" s="112">
        <f>ROUND(SUM(H$70:H$103),-3)</f>
        <v>19970000</v>
      </c>
    </row>
    <row r="105" spans="1:8">
      <c r="A105" s="141"/>
      <c r="B105" s="525"/>
      <c r="C105" s="525"/>
      <c r="D105" s="525"/>
      <c r="E105" s="142"/>
      <c r="F105" s="143"/>
      <c r="G105" s="144"/>
      <c r="H105" s="140"/>
    </row>
    <row r="106" spans="1:8">
      <c r="A106" s="526" t="s">
        <v>80</v>
      </c>
      <c r="B106" s="527"/>
      <c r="C106" s="527"/>
      <c r="D106" s="527"/>
      <c r="E106" s="527"/>
      <c r="F106" s="527"/>
      <c r="G106" s="528"/>
      <c r="H106" s="140"/>
    </row>
    <row r="107" spans="1:8">
      <c r="A107" s="439" t="s">
        <v>412</v>
      </c>
      <c r="B107" s="518" t="s">
        <v>411</v>
      </c>
      <c r="C107" s="518"/>
      <c r="D107" s="518"/>
      <c r="E107" s="463">
        <v>1</v>
      </c>
      <c r="F107" s="464" t="s">
        <v>95</v>
      </c>
      <c r="G107" s="465">
        <v>77777.77</v>
      </c>
      <c r="H107" s="140">
        <f t="shared" ref="H107:H112" si="9">ROUND(($E107*$G107),-2)</f>
        <v>77800</v>
      </c>
    </row>
    <row r="108" spans="1:8">
      <c r="A108" s="439" t="s">
        <v>97</v>
      </c>
      <c r="B108" s="523" t="s">
        <v>96</v>
      </c>
      <c r="C108" s="518"/>
      <c r="D108" s="524"/>
      <c r="E108" s="463">
        <v>1</v>
      </c>
      <c r="F108" s="464" t="s">
        <v>95</v>
      </c>
      <c r="G108" s="465">
        <v>66666.66</v>
      </c>
      <c r="H108" s="140">
        <f t="shared" si="9"/>
        <v>66700</v>
      </c>
    </row>
    <row r="109" spans="1:8">
      <c r="A109" s="466" t="s">
        <v>98</v>
      </c>
      <c r="B109" s="529" t="s">
        <v>178</v>
      </c>
      <c r="C109" s="530"/>
      <c r="D109" s="531"/>
      <c r="E109" s="467">
        <v>1</v>
      </c>
      <c r="F109" s="468" t="s">
        <v>409</v>
      </c>
      <c r="G109" s="469">
        <v>55555.55</v>
      </c>
      <c r="H109" s="140">
        <f t="shared" si="9"/>
        <v>55600</v>
      </c>
    </row>
    <row r="110" spans="1:8">
      <c r="A110" s="439"/>
      <c r="B110" s="523"/>
      <c r="C110" s="518"/>
      <c r="D110" s="524"/>
      <c r="E110" s="463"/>
      <c r="F110" s="464"/>
      <c r="G110" s="465"/>
      <c r="H110" s="140">
        <f t="shared" si="9"/>
        <v>0</v>
      </c>
    </row>
    <row r="111" spans="1:8">
      <c r="A111" s="439"/>
      <c r="B111" s="518"/>
      <c r="C111" s="518"/>
      <c r="D111" s="518"/>
      <c r="E111" s="463"/>
      <c r="F111" s="464"/>
      <c r="G111" s="465"/>
      <c r="H111" s="140">
        <f t="shared" si="9"/>
        <v>0</v>
      </c>
    </row>
    <row r="112" spans="1:8">
      <c r="A112" s="470"/>
      <c r="B112" s="519"/>
      <c r="C112" s="519"/>
      <c r="D112" s="519"/>
      <c r="E112" s="471"/>
      <c r="F112" s="472"/>
      <c r="G112" s="473"/>
      <c r="H112" s="140">
        <f t="shared" si="9"/>
        <v>0</v>
      </c>
    </row>
    <row r="113" spans="1:8">
      <c r="A113" s="520" t="s">
        <v>83</v>
      </c>
      <c r="B113" s="520"/>
      <c r="C113" s="520"/>
      <c r="D113" s="520"/>
      <c r="E113" s="520"/>
      <c r="F113" s="520"/>
      <c r="G113" s="521"/>
      <c r="H113" s="112">
        <f>ROUND(SUM(H$107:H$112),-3)</f>
        <v>200000</v>
      </c>
    </row>
    <row r="114" spans="1:8">
      <c r="A114" s="85"/>
      <c r="B114" s="83"/>
      <c r="C114" s="83"/>
      <c r="D114" s="83"/>
      <c r="E114" s="145"/>
      <c r="F114" s="83"/>
      <c r="G114" s="100"/>
      <c r="H114" s="107"/>
    </row>
    <row r="115" spans="1:8">
      <c r="A115" s="85" t="s">
        <v>86</v>
      </c>
      <c r="B115" s="83"/>
      <c r="C115" s="83"/>
      <c r="D115" s="83"/>
      <c r="E115" s="145"/>
      <c r="F115" s="83"/>
      <c r="G115" s="100"/>
      <c r="H115" s="112">
        <f>SUM($H$67,$H$104,$H$113)</f>
        <v>22050000</v>
      </c>
    </row>
    <row r="116" spans="1:8" ht="13" thickBot="1">
      <c r="A116" s="83"/>
      <c r="B116" s="83"/>
      <c r="C116" s="83"/>
      <c r="D116" s="83"/>
      <c r="E116" s="83"/>
      <c r="F116" s="83"/>
      <c r="G116" s="83"/>
      <c r="H116" s="93"/>
    </row>
    <row r="117" spans="1:8" ht="13" thickBot="1">
      <c r="A117" s="125" t="s">
        <v>87</v>
      </c>
      <c r="B117" s="126"/>
      <c r="C117" s="126"/>
      <c r="D117" s="126"/>
      <c r="E117" s="126"/>
      <c r="F117" s="125"/>
      <c r="G117" s="127"/>
      <c r="H117" s="88">
        <f>ROUND(SUM($H$63,$H$115),-3)</f>
        <v>86766000</v>
      </c>
    </row>
    <row r="118" spans="1:8">
      <c r="A118" s="85"/>
      <c r="B118" s="87"/>
      <c r="C118" s="87"/>
      <c r="D118" s="87"/>
      <c r="E118" s="87"/>
      <c r="F118" s="85"/>
      <c r="G118" s="146"/>
      <c r="H118" s="147"/>
    </row>
    <row r="119" spans="1:8">
      <c r="A119" s="84" t="s">
        <v>60</v>
      </c>
      <c r="B119" s="83" t="s">
        <v>61</v>
      </c>
      <c r="C119" s="83"/>
      <c r="D119" s="83"/>
      <c r="E119" s="390">
        <v>44444</v>
      </c>
      <c r="F119" s="391" t="s">
        <v>94</v>
      </c>
      <c r="G119" s="392">
        <v>4.4400000000000004</v>
      </c>
      <c r="H119" s="336">
        <f>ROUND(($E$119*$G$119),-3)</f>
        <v>197000</v>
      </c>
    </row>
    <row r="120" spans="1:8">
      <c r="A120" s="85"/>
      <c r="B120" s="87"/>
      <c r="C120" s="87"/>
      <c r="D120" s="87"/>
      <c r="E120" s="87"/>
      <c r="F120" s="85"/>
      <c r="G120" s="146"/>
      <c r="H120" s="147"/>
    </row>
    <row r="121" spans="1:8">
      <c r="A121" s="83" t="str">
        <f>$A$3</f>
        <v xml:space="preserve">PROJECT TITLE:  </v>
      </c>
      <c r="B121" s="87" t="str">
        <f>IF($B$3="","",$B$3)</f>
        <v>OLD MAIN MEMORIAL HALL ADDITION &amp; RENOVATION - PHASE VIII + ALTERNATE X</v>
      </c>
      <c r="C121" s="83"/>
      <c r="D121" s="83"/>
      <c r="E121" s="83"/>
      <c r="F121" s="83"/>
      <c r="G121" s="83"/>
      <c r="H121" s="83"/>
    </row>
    <row r="122" spans="1:8">
      <c r="A122" s="84" t="str">
        <f>(($A$117)&amp;" (from page 2)")</f>
        <v>CONSTRUCTION &amp; REMODELING COST SUBTOTAL (from page 2)</v>
      </c>
      <c r="B122" s="83"/>
      <c r="C122" s="83"/>
      <c r="D122" s="87"/>
      <c r="E122" s="87"/>
      <c r="F122" s="87"/>
      <c r="G122" s="100"/>
      <c r="H122" s="112">
        <f>($H$117)</f>
        <v>86766000</v>
      </c>
    </row>
    <row r="123" spans="1:8" ht="13" thickBot="1">
      <c r="A123" s="84"/>
      <c r="B123" s="83"/>
      <c r="C123" s="83"/>
      <c r="D123" s="87"/>
      <c r="E123" s="87"/>
      <c r="F123" s="87"/>
      <c r="G123" s="146"/>
      <c r="H123" s="93"/>
    </row>
    <row r="124" spans="1:8" ht="13" thickBot="1">
      <c r="A124" s="148" t="s">
        <v>57</v>
      </c>
      <c r="B124" s="149"/>
      <c r="C124" s="149"/>
      <c r="D124" s="126"/>
      <c r="E124" s="126"/>
      <c r="F124" s="126"/>
      <c r="G124" s="337"/>
      <c r="H124" s="88">
        <f>ROUND(($E$135+$E$137),-3)</f>
        <v>141366000</v>
      </c>
    </row>
    <row r="125" spans="1:8">
      <c r="A125" s="150" t="s">
        <v>246</v>
      </c>
      <c r="B125" s="83"/>
      <c r="C125" s="151"/>
      <c r="D125" s="87"/>
      <c r="E125" s="107">
        <f>($H$61)</f>
        <v>64716000</v>
      </c>
      <c r="F125" s="87"/>
      <c r="G125" s="100"/>
      <c r="H125" s="93"/>
    </row>
    <row r="126" spans="1:8">
      <c r="A126" s="150" t="s">
        <v>247</v>
      </c>
      <c r="B126" s="83"/>
      <c r="C126" s="151"/>
      <c r="D126" s="87"/>
      <c r="E126" s="107">
        <f>($H$67)</f>
        <v>1880000</v>
      </c>
      <c r="F126" s="87"/>
      <c r="G126" s="100"/>
      <c r="H126" s="93"/>
    </row>
    <row r="127" spans="1:8">
      <c r="A127" s="150" t="s">
        <v>248</v>
      </c>
      <c r="B127" s="83"/>
      <c r="C127" s="151"/>
      <c r="D127" s="87"/>
      <c r="E127" s="107">
        <f>($H$104)</f>
        <v>19970000</v>
      </c>
      <c r="F127" s="87"/>
      <c r="G127" s="100"/>
      <c r="H127" s="93"/>
    </row>
    <row r="128" spans="1:8">
      <c r="A128" s="150" t="s">
        <v>249</v>
      </c>
      <c r="B128" s="83"/>
      <c r="C128" s="151"/>
      <c r="D128" s="87"/>
      <c r="E128" s="152">
        <f>($H$113)</f>
        <v>200000</v>
      </c>
      <c r="F128" s="87"/>
      <c r="G128" s="100"/>
      <c r="H128" s="93"/>
    </row>
    <row r="129" spans="1:8">
      <c r="A129" s="150" t="s">
        <v>250</v>
      </c>
      <c r="B129" s="83"/>
      <c r="C129" s="151"/>
      <c r="D129" s="87"/>
      <c r="E129" s="107">
        <f>($H$117)</f>
        <v>86766000</v>
      </c>
      <c r="F129" s="87"/>
      <c r="G129" s="100"/>
      <c r="H129" s="93"/>
    </row>
    <row r="130" spans="1:8">
      <c r="A130" s="150" t="s">
        <v>77</v>
      </c>
      <c r="B130" s="83"/>
      <c r="C130" s="386">
        <v>8.8887999999999995E-2</v>
      </c>
      <c r="D130" s="107">
        <f>($H$122)</f>
        <v>86766000</v>
      </c>
      <c r="E130" s="107">
        <f>ROUND(($C$130*$D$130),-2)</f>
        <v>7712500</v>
      </c>
      <c r="F130" s="87"/>
      <c r="G130" s="100"/>
      <c r="H130" s="93"/>
    </row>
    <row r="131" spans="1:8">
      <c r="A131" s="150" t="s">
        <v>277</v>
      </c>
      <c r="B131" s="83"/>
      <c r="C131" s="387">
        <v>8.8887999999999995E-2</v>
      </c>
      <c r="D131" s="107">
        <f>($H$122)</f>
        <v>86766000</v>
      </c>
      <c r="E131" s="107">
        <f>ROUND(($C$131*$D$131),-2)</f>
        <v>7712500</v>
      </c>
      <c r="F131" s="87"/>
      <c r="G131" s="100"/>
      <c r="H131" s="93"/>
    </row>
    <row r="132" spans="1:8">
      <c r="A132" s="150" t="s">
        <v>78</v>
      </c>
      <c r="B132" s="83"/>
      <c r="C132" s="386">
        <v>8.8887999999999995E-2</v>
      </c>
      <c r="D132" s="107">
        <f>($H$122)</f>
        <v>86766000</v>
      </c>
      <c r="E132" s="107">
        <f>ROUND(($C$132*$D$132),-2)</f>
        <v>7712500</v>
      </c>
      <c r="F132" s="87"/>
      <c r="G132" s="100"/>
      <c r="H132" s="93"/>
    </row>
    <row r="133" spans="1:8">
      <c r="A133" s="150" t="s">
        <v>251</v>
      </c>
      <c r="B133" s="83"/>
      <c r="C133" s="151"/>
      <c r="D133" s="87"/>
      <c r="E133" s="152">
        <f>($H$119)</f>
        <v>197000</v>
      </c>
      <c r="F133" s="87"/>
      <c r="H133" s="93"/>
    </row>
    <row r="134" spans="1:8">
      <c r="A134" s="150" t="s">
        <v>252</v>
      </c>
      <c r="B134" s="83"/>
      <c r="C134" s="297" t="s">
        <v>304</v>
      </c>
      <c r="D134" s="87"/>
      <c r="E134" s="107">
        <f>SUM(E$129:E$133)</f>
        <v>110100500</v>
      </c>
      <c r="F134" s="87"/>
      <c r="G134" s="97" t="s">
        <v>320</v>
      </c>
      <c r="H134" s="93"/>
    </row>
    <row r="135" spans="1:8">
      <c r="A135" s="150" t="s">
        <v>303</v>
      </c>
      <c r="B135" s="83"/>
      <c r="C135" s="311">
        <f>IF($G$135="NO INFLATION",1,IF($G$135="2025-27 CBR",ENR!$L$7,(ENR_SAMPLE)))</f>
        <v>1.2712612344306133</v>
      </c>
      <c r="D135" s="107">
        <f>($E$134)</f>
        <v>110100500</v>
      </c>
      <c r="E135" s="107">
        <f>ROUND(($D$135*$C$135),-2)</f>
        <v>139966500</v>
      </c>
      <c r="F135" s="87"/>
      <c r="G135" s="316" t="s">
        <v>317</v>
      </c>
      <c r="H135" s="93"/>
    </row>
    <row r="136" spans="1:8">
      <c r="A136" s="150"/>
      <c r="B136" s="83"/>
      <c r="C136" s="153"/>
      <c r="D136" s="107"/>
      <c r="E136" s="107"/>
      <c r="F136" s="87"/>
      <c r="G136" s="97" t="s">
        <v>308</v>
      </c>
      <c r="H136" s="93"/>
    </row>
    <row r="137" spans="1:8">
      <c r="A137" s="150" t="s">
        <v>302</v>
      </c>
      <c r="B137" s="83"/>
      <c r="C137" s="386">
        <f>(LOOKUPS!$M$2)</f>
        <v>0.01</v>
      </c>
      <c r="D137" s="107">
        <f>($E$135)</f>
        <v>139966500</v>
      </c>
      <c r="E137" s="107">
        <f>IF($D$137&gt;$G$137,ROUND(($D$137*$C$137),-2),0)</f>
        <v>1399700</v>
      </c>
      <c r="F137" s="87"/>
      <c r="G137" s="156">
        <f>(LOOKUPS!$M$3)</f>
        <v>21250000</v>
      </c>
      <c r="H137" s="93"/>
    </row>
    <row r="138" spans="1:8" ht="13" thickBot="1">
      <c r="A138" s="84"/>
      <c r="B138" s="83"/>
      <c r="C138" s="83"/>
      <c r="D138" s="87"/>
      <c r="E138" s="87"/>
      <c r="F138" s="83"/>
      <c r="G138" s="100"/>
      <c r="H138" s="93"/>
    </row>
    <row r="139" spans="1:8" ht="13" thickBot="1">
      <c r="A139" s="148" t="s">
        <v>54</v>
      </c>
      <c r="B139" s="149"/>
      <c r="C139" s="149"/>
      <c r="D139" s="123"/>
      <c r="E139" s="123"/>
      <c r="F139" s="154"/>
      <c r="G139" s="339">
        <f>IF($H$139=0,"",($H$139/TOTCONST_SAMPLE))</f>
        <v>5.7220265127399798E-2</v>
      </c>
      <c r="H139" s="88">
        <f>ROUND(SUM($E$142:$E$144),-3)</f>
        <v>8089000</v>
      </c>
    </row>
    <row r="140" spans="1:8">
      <c r="A140" s="150" t="s">
        <v>377</v>
      </c>
      <c r="B140" s="83"/>
      <c r="C140" s="393" t="s">
        <v>65</v>
      </c>
      <c r="D140" s="395">
        <f>IF($C$140="",0,IF($C$141="",0,IF(AND($C$140="CONSTRUCTION",$C$141="LOW"),VLOOKUP($E$134,DESIGN_FEES[],3,TRUE),IF(AND($C$140="CONSTRUCTION",$C$141="AVERAGE"),VLOOKUP($E$134,DESIGN_FEES[],4,TRUE),IF(AND($C$140="CONSTRUCTION",$C$141="HIGH"),VLOOKUP($E$134,DESIGN_FEES[],5,TRUE),IF(AND($C$140="RENOVATION",$C$141="LOW"),VLOOKUP($E$134,DESIGN_FEES[],7,TRUE),IF(AND($C$140="RENOVATION",$C$141="AVERAGE"),VLOOKUP($E$134,DESIGN_FEES[],8,TRUE),IF(AND($C$140="RENOVATION",$C$141="HIGH"),VLOOKUP($E$134,DESIGN_FEES[],9,TRUE),"X"))))))))</f>
        <v>5.5E-2</v>
      </c>
      <c r="E140" s="93"/>
      <c r="F140" s="84"/>
      <c r="G140" s="385"/>
      <c r="H140" s="165"/>
    </row>
    <row r="141" spans="1:8">
      <c r="A141" s="150" t="s">
        <v>378</v>
      </c>
      <c r="B141" s="83"/>
      <c r="C141" s="393" t="s">
        <v>353</v>
      </c>
      <c r="D141" s="93"/>
      <c r="E141" s="93"/>
      <c r="F141" s="84"/>
      <c r="G141" s="385"/>
      <c r="H141" s="165"/>
    </row>
    <row r="142" spans="1:8">
      <c r="A142" s="150" t="s">
        <v>253</v>
      </c>
      <c r="B142" s="83"/>
      <c r="C142" s="386">
        <f>IF($C$140="",0,IF($C$141="",0,IF(AND($C$140="CONSTRUCTION",$C$141="LOW"),VLOOKUP($E$134,DESIGN_FEES[],3,TRUE),IF(AND($C$140="CONSTRUCTION",$C$141="AVERAGE"),VLOOKUP($E$134,DESIGN_FEES[],4,TRUE),IF(AND($C$140="CONSTRUCTION",$C$141="HIGH"),VLOOKUP($E$134,DESIGN_FEES[],5,TRUE),IF(AND($C$140="RENOVATION",$C$141="LOW"),VLOOKUP($E$134,DESIGN_FEES[],7,TRUE),IF(AND($C$140="RENOVATION",$C$141="AVERAGE"),VLOOKUP($E$134,DESIGN_FEES[],8,TRUE),IF(AND($C$140="RENOVATION",$C$141="HIGH"),VLOOKUP($E$134,DESIGN_FEES[],9,TRUE),"X"))))))))</f>
        <v>5.5E-2</v>
      </c>
      <c r="D142" s="107">
        <f>($H$124)</f>
        <v>141366000</v>
      </c>
      <c r="E142" s="107">
        <f>IF($E$143&gt;0,0,((ROUND(($C142*$D$142),-2))))</f>
        <v>7775100</v>
      </c>
      <c r="F142" s="84"/>
      <c r="G142" s="83"/>
      <c r="H142" s="93"/>
    </row>
    <row r="143" spans="1:8">
      <c r="A143" s="150" t="s">
        <v>254</v>
      </c>
      <c r="B143" s="83"/>
      <c r="C143" s="155" t="str">
        <f>IF($E$143=0,"",($E$143/TOTCONST_SAMPLE))</f>
        <v/>
      </c>
      <c r="D143" s="93"/>
      <c r="E143" s="474">
        <v>0</v>
      </c>
      <c r="F143" s="84"/>
      <c r="G143" s="83"/>
      <c r="H143" s="93"/>
    </row>
    <row r="144" spans="1:8">
      <c r="A144" s="150" t="s">
        <v>255</v>
      </c>
      <c r="B144" s="83"/>
      <c r="C144" s="386">
        <v>4.0404000000000002E-2</v>
      </c>
      <c r="D144" s="107">
        <f>($E$142+$E$143)</f>
        <v>7775100</v>
      </c>
      <c r="E144" s="107">
        <f>ROUND($C144*D$144,-2)</f>
        <v>314100</v>
      </c>
      <c r="F144" s="86"/>
      <c r="G144" s="83"/>
      <c r="H144" s="93"/>
    </row>
    <row r="145" spans="1:8" ht="13" thickBot="1">
      <c r="A145" s="84"/>
      <c r="B145" s="83"/>
      <c r="C145" s="151"/>
      <c r="D145" s="93"/>
      <c r="E145" s="95"/>
      <c r="F145" s="83"/>
      <c r="G145" s="83"/>
      <c r="H145" s="93"/>
    </row>
    <row r="146" spans="1:8" ht="13" thickBot="1">
      <c r="A146" s="148" t="s">
        <v>55</v>
      </c>
      <c r="B146" s="149"/>
      <c r="C146" s="157"/>
      <c r="D146" s="123"/>
      <c r="E146" s="158"/>
      <c r="F146" s="149"/>
      <c r="G146" s="339">
        <f>IF($H$146=0,"",($H$146/TOTCONST_SAMPLE))</f>
        <v>2.0125065432989545E-2</v>
      </c>
      <c r="H146" s="88">
        <f>ROUND(SUM($E$147:$E$157),-3)</f>
        <v>2845000</v>
      </c>
    </row>
    <row r="147" spans="1:8">
      <c r="A147" s="150" t="s">
        <v>256</v>
      </c>
      <c r="B147" s="83"/>
      <c r="C147" s="386">
        <v>1.2500000000000001E-2</v>
      </c>
      <c r="D147" s="107">
        <f>($H$124)</f>
        <v>141366000</v>
      </c>
      <c r="E147" s="107">
        <f>ROUND(($C147*$D$147),-2)</f>
        <v>1767100</v>
      </c>
      <c r="F147" s="84"/>
      <c r="G147" s="83"/>
      <c r="H147" s="93"/>
    </row>
    <row r="148" spans="1:8">
      <c r="A148" s="150" t="s">
        <v>274</v>
      </c>
      <c r="B148" s="83"/>
      <c r="C148" s="151"/>
      <c r="D148" s="93"/>
      <c r="E148" s="474">
        <v>0</v>
      </c>
      <c r="F148" s="83"/>
      <c r="G148" s="83"/>
      <c r="H148" s="93"/>
    </row>
    <row r="149" spans="1:8">
      <c r="A149" s="150" t="s">
        <v>257</v>
      </c>
      <c r="B149" s="83"/>
      <c r="C149" s="388">
        <v>7.4999999999999997E-3</v>
      </c>
      <c r="D149" s="107">
        <f>($H$124)</f>
        <v>141366000</v>
      </c>
      <c r="E149" s="107">
        <f>ROUND(($C$149*$D$149),-2)</f>
        <v>1060200</v>
      </c>
      <c r="F149" s="83"/>
      <c r="G149" s="83"/>
      <c r="H149" s="93"/>
    </row>
    <row r="150" spans="1:8">
      <c r="A150" s="150" t="s">
        <v>258</v>
      </c>
      <c r="B150" s="83"/>
      <c r="C150" s="159"/>
      <c r="D150" s="93"/>
      <c r="E150" s="171">
        <v>0</v>
      </c>
      <c r="F150" s="83"/>
      <c r="G150" s="83"/>
      <c r="H150" s="93"/>
    </row>
    <row r="151" spans="1:8">
      <c r="A151" s="150" t="s">
        <v>259</v>
      </c>
      <c r="B151" s="83"/>
      <c r="C151" s="151"/>
      <c r="D151" s="93"/>
      <c r="E151" s="172">
        <v>0</v>
      </c>
      <c r="F151" s="83"/>
      <c r="G151" s="83"/>
      <c r="H151" s="93"/>
    </row>
    <row r="152" spans="1:8">
      <c r="A152" s="150" t="s">
        <v>260</v>
      </c>
      <c r="B152" s="83"/>
      <c r="C152" s="151"/>
      <c r="D152" s="93"/>
      <c r="E152" s="172">
        <v>0</v>
      </c>
      <c r="F152" s="83"/>
      <c r="G152" s="83"/>
      <c r="H152" s="93"/>
    </row>
    <row r="153" spans="1:8">
      <c r="A153" s="522" t="s">
        <v>413</v>
      </c>
      <c r="B153" s="522"/>
      <c r="C153" s="522"/>
      <c r="D153" s="93"/>
      <c r="E153" s="172">
        <v>8888</v>
      </c>
      <c r="F153" s="83"/>
      <c r="G153" s="83"/>
      <c r="H153" s="93"/>
    </row>
    <row r="154" spans="1:8">
      <c r="A154" s="522" t="s">
        <v>414</v>
      </c>
      <c r="B154" s="522"/>
      <c r="C154" s="522"/>
      <c r="D154" s="93"/>
      <c r="E154" s="172">
        <v>8888</v>
      </c>
      <c r="F154" s="83"/>
      <c r="G154" s="83"/>
      <c r="H154" s="93"/>
    </row>
    <row r="155" spans="1:8">
      <c r="A155" s="522" t="s">
        <v>324</v>
      </c>
      <c r="B155" s="522"/>
      <c r="C155" s="522"/>
      <c r="D155" s="93"/>
      <c r="E155" s="172">
        <v>0</v>
      </c>
      <c r="F155" s="83"/>
      <c r="G155" s="83"/>
      <c r="H155" s="93"/>
    </row>
    <row r="156" spans="1:8">
      <c r="A156" s="522" t="s">
        <v>325</v>
      </c>
      <c r="B156" s="522"/>
      <c r="C156" s="522"/>
      <c r="D156" s="93"/>
      <c r="E156" s="173">
        <v>0</v>
      </c>
      <c r="F156" s="83"/>
      <c r="G156" s="83"/>
      <c r="H156" s="93"/>
    </row>
    <row r="157" spans="1:8">
      <c r="A157" s="150" t="s">
        <v>261</v>
      </c>
      <c r="B157" s="83"/>
      <c r="C157" s="388">
        <v>0</v>
      </c>
      <c r="D157" s="107">
        <f>($G$158)</f>
        <v>944400</v>
      </c>
      <c r="E157" s="107">
        <f>ROUND(($C$157*$D$157),-2)</f>
        <v>0</v>
      </c>
      <c r="F157" s="83"/>
      <c r="G157" s="83"/>
      <c r="H157" s="93"/>
    </row>
    <row r="158" spans="1:8">
      <c r="A158" s="166" t="s">
        <v>81</v>
      </c>
      <c r="B158" s="167"/>
      <c r="C158" s="296"/>
      <c r="D158" s="244"/>
      <c r="E158" s="244"/>
      <c r="F158" s="318" t="s">
        <v>84</v>
      </c>
      <c r="G158" s="161">
        <f>ROUND(SUM($E$159:$E$164),-2)</f>
        <v>944400</v>
      </c>
      <c r="H158" s="93"/>
    </row>
    <row r="159" spans="1:8">
      <c r="A159" s="150" t="s">
        <v>262</v>
      </c>
      <c r="B159" s="150"/>
      <c r="C159" s="150"/>
      <c r="D159" s="93"/>
      <c r="E159" s="171">
        <v>777777</v>
      </c>
      <c r="F159" s="83"/>
      <c r="G159" s="83"/>
      <c r="H159" s="93"/>
    </row>
    <row r="160" spans="1:8">
      <c r="A160" s="150" t="s">
        <v>263</v>
      </c>
      <c r="B160" s="150"/>
      <c r="C160" s="150"/>
      <c r="D160" s="93"/>
      <c r="E160" s="172">
        <v>66666</v>
      </c>
      <c r="F160" s="83"/>
      <c r="G160" s="83"/>
      <c r="H160" s="93"/>
    </row>
    <row r="161" spans="1:8">
      <c r="A161" s="522" t="s">
        <v>415</v>
      </c>
      <c r="B161" s="522"/>
      <c r="C161" s="522"/>
      <c r="D161" s="93"/>
      <c r="E161" s="172">
        <v>55555</v>
      </c>
      <c r="F161" s="83"/>
      <c r="G161" s="83"/>
      <c r="H161" s="93"/>
    </row>
    <row r="162" spans="1:8">
      <c r="A162" s="522" t="s">
        <v>416</v>
      </c>
      <c r="B162" s="522"/>
      <c r="C162" s="522"/>
      <c r="D162" s="93"/>
      <c r="E162" s="172">
        <v>44444</v>
      </c>
      <c r="F162" s="83"/>
      <c r="G162" s="83"/>
      <c r="H162" s="93"/>
    </row>
    <row r="163" spans="1:8">
      <c r="A163" s="522" t="s">
        <v>342</v>
      </c>
      <c r="B163" s="522"/>
      <c r="C163" s="522"/>
      <c r="D163" s="93"/>
      <c r="E163" s="172">
        <v>0</v>
      </c>
      <c r="F163" s="83"/>
      <c r="G163" s="83"/>
      <c r="H163" s="93"/>
    </row>
    <row r="164" spans="1:8">
      <c r="A164" s="522" t="s">
        <v>343</v>
      </c>
      <c r="B164" s="522"/>
      <c r="C164" s="522"/>
      <c r="D164" s="93"/>
      <c r="E164" s="173">
        <v>0</v>
      </c>
      <c r="F164" s="83"/>
      <c r="G164" s="83"/>
      <c r="H164" s="93"/>
    </row>
    <row r="165" spans="1:8" ht="13" thickBot="1">
      <c r="A165" s="162"/>
      <c r="B165" s="83"/>
      <c r="C165" s="151"/>
      <c r="D165" s="93"/>
      <c r="E165" s="83"/>
      <c r="F165" s="83"/>
      <c r="G165" s="83"/>
      <c r="H165" s="93"/>
    </row>
    <row r="166" spans="1:8" ht="13" thickBot="1">
      <c r="A166" s="148" t="s">
        <v>56</v>
      </c>
      <c r="B166" s="149"/>
      <c r="C166" s="389">
        <v>0.15</v>
      </c>
      <c r="D166" s="110">
        <f>($H$124)</f>
        <v>141366000</v>
      </c>
      <c r="E166" s="110">
        <f>ROUND($C166*$D166,-2)</f>
        <v>21204900</v>
      </c>
      <c r="F166" s="154"/>
      <c r="G166" s="339">
        <f>IF($H$166=0,"",($H$166/TOTCONST_SAMPLE))</f>
        <v>0.15000070738367074</v>
      </c>
      <c r="H166" s="88">
        <f>ROUND(VALUE($E$166),-3)</f>
        <v>21205000</v>
      </c>
    </row>
    <row r="167" spans="1:8" ht="13" thickBot="1">
      <c r="A167" s="162"/>
      <c r="B167" s="83"/>
      <c r="C167" s="151"/>
      <c r="D167" s="93"/>
      <c r="E167" s="83"/>
      <c r="F167" s="83"/>
      <c r="G167" s="83"/>
      <c r="H167" s="93"/>
    </row>
    <row r="168" spans="1:8" ht="13" thickBot="1">
      <c r="A168" s="148" t="s">
        <v>75</v>
      </c>
      <c r="B168" s="149"/>
      <c r="C168" s="386">
        <v>0.04</v>
      </c>
      <c r="D168" s="110">
        <f>SUM($H$124+$H$166)</f>
        <v>162571000</v>
      </c>
      <c r="E168" s="110">
        <f>ROUND($C168*$D168,-2)</f>
        <v>6502800</v>
      </c>
      <c r="F168" s="154"/>
      <c r="G168" s="339">
        <f>IF($H$168=0,"",($H$168/TOTCONST_SAMPLE))</f>
        <v>4.6001160109220042E-2</v>
      </c>
      <c r="H168" s="88">
        <f>ROUND(VALUE($E$168),-3)</f>
        <v>6503000</v>
      </c>
    </row>
    <row r="169" spans="1:8" ht="13" thickBot="1">
      <c r="A169" s="83"/>
      <c r="B169" s="83"/>
      <c r="C169" s="163"/>
      <c r="D169" s="93"/>
      <c r="E169" s="93"/>
      <c r="F169" s="86"/>
      <c r="G169" s="83"/>
      <c r="H169" s="93"/>
    </row>
    <row r="170" spans="1:8" ht="13" thickBot="1">
      <c r="A170" s="148" t="s">
        <v>79</v>
      </c>
      <c r="B170" s="149"/>
      <c r="C170" s="164"/>
      <c r="D170" s="123"/>
      <c r="E170" s="123"/>
      <c r="F170" s="154"/>
      <c r="G170" s="338">
        <f>IF($H$170=0,"",($H$170/TOTCONST_SAMPLE))</f>
        <v>9.5567533919047015E-2</v>
      </c>
      <c r="H170" s="88">
        <f>ROUND(SUM($E$171:$E$178),-3)</f>
        <v>13510000</v>
      </c>
    </row>
    <row r="171" spans="1:8">
      <c r="A171" s="150" t="s">
        <v>264</v>
      </c>
      <c r="B171" s="83"/>
      <c r="C171" s="163"/>
      <c r="D171" s="93"/>
      <c r="E171" s="107">
        <f>ROUND(SUM($E$159:$E$164),-2)</f>
        <v>944400</v>
      </c>
      <c r="F171" s="84"/>
      <c r="G171" s="83"/>
      <c r="H171" s="165"/>
    </row>
    <row r="172" spans="1:8">
      <c r="A172" s="166" t="s">
        <v>82</v>
      </c>
      <c r="B172" s="167"/>
      <c r="C172" s="168"/>
      <c r="D172" s="169"/>
      <c r="E172" s="169"/>
      <c r="F172" s="318" t="s">
        <v>85</v>
      </c>
      <c r="G172" s="161">
        <f>ROUND(SUM($E$173:$E$178),-2)</f>
        <v>12565700</v>
      </c>
      <c r="H172" s="165"/>
    </row>
    <row r="173" spans="1:8">
      <c r="A173" s="150" t="s">
        <v>276</v>
      </c>
      <c r="B173" s="83"/>
      <c r="C173" s="386">
        <v>8.8887999999999995E-2</v>
      </c>
      <c r="D173" s="107">
        <f>($H$124)</f>
        <v>141366000</v>
      </c>
      <c r="E173" s="107">
        <f>ROUND($C173*$D173,-2)</f>
        <v>12565700</v>
      </c>
      <c r="F173" s="170"/>
      <c r="G173" s="83"/>
      <c r="H173" s="93"/>
    </row>
    <row r="174" spans="1:8">
      <c r="A174" s="150" t="s">
        <v>262</v>
      </c>
      <c r="B174" s="83"/>
      <c r="C174" s="83"/>
      <c r="D174" s="93"/>
      <c r="E174" s="171">
        <v>0</v>
      </c>
      <c r="F174" s="170"/>
      <c r="G174" s="83"/>
      <c r="H174" s="93"/>
    </row>
    <row r="175" spans="1:8">
      <c r="A175" s="150" t="s">
        <v>263</v>
      </c>
      <c r="B175" s="83"/>
      <c r="C175" s="83"/>
      <c r="D175" s="93"/>
      <c r="E175" s="172">
        <v>0</v>
      </c>
      <c r="F175" s="170"/>
      <c r="G175" s="83"/>
      <c r="H175" s="93"/>
    </row>
    <row r="176" spans="1:8">
      <c r="A176" s="522" t="s">
        <v>344</v>
      </c>
      <c r="B176" s="522"/>
      <c r="C176" s="522"/>
      <c r="D176" s="93"/>
      <c r="E176" s="172">
        <v>0</v>
      </c>
      <c r="F176" s="170"/>
      <c r="G176" s="83"/>
      <c r="H176" s="93"/>
    </row>
    <row r="177" spans="1:8">
      <c r="A177" s="522" t="s">
        <v>345</v>
      </c>
      <c r="B177" s="522"/>
      <c r="C177" s="522"/>
      <c r="D177" s="93"/>
      <c r="E177" s="172">
        <v>0</v>
      </c>
      <c r="F177" s="170"/>
      <c r="G177" s="83"/>
      <c r="H177" s="93"/>
    </row>
    <row r="178" spans="1:8">
      <c r="A178" s="522" t="s">
        <v>346</v>
      </c>
      <c r="B178" s="522"/>
      <c r="C178" s="522"/>
      <c r="D178" s="93"/>
      <c r="E178" s="173">
        <v>0</v>
      </c>
      <c r="F178" s="170"/>
      <c r="G178" s="83"/>
      <c r="H178" s="93"/>
    </row>
    <row r="179" spans="1:8" ht="13" thickBot="1">
      <c r="A179" s="83"/>
      <c r="B179" s="83"/>
      <c r="C179" s="83"/>
      <c r="D179" s="83"/>
      <c r="E179" s="83"/>
      <c r="F179" s="83"/>
      <c r="G179" s="83"/>
      <c r="H179" s="93"/>
    </row>
    <row r="180" spans="1:8" ht="13" thickBot="1">
      <c r="A180" s="125" t="s">
        <v>33</v>
      </c>
      <c r="B180" s="126"/>
      <c r="C180" s="126"/>
      <c r="D180" s="126"/>
      <c r="E180" s="126"/>
      <c r="F180" s="125"/>
      <c r="G180" s="340"/>
      <c r="H180" s="88">
        <f>ROUND(SUM($H$124,$H$139,$H$146,$H$166,$H$168,$H$170),-3)</f>
        <v>193518000</v>
      </c>
    </row>
    <row r="181" spans="1:8" ht="5.75" customHeight="1">
      <c r="A181" s="87"/>
      <c r="B181" s="87"/>
      <c r="C181" s="87"/>
      <c r="D181" s="87"/>
      <c r="E181" s="87"/>
      <c r="F181" s="87"/>
      <c r="G181" s="87"/>
      <c r="H181" s="83"/>
    </row>
    <row r="182" spans="1:8">
      <c r="A182" s="86"/>
      <c r="B182" s="83"/>
      <c r="C182" s="107">
        <f>IF(ISERR(ROUND($H$122/($B$9+$B$13),0)),0,ROUND($H$122/($B$9+$B$13),0))</f>
        <v>1286</v>
      </c>
      <c r="D182" s="174" t="s">
        <v>41</v>
      </c>
      <c r="E182" s="83"/>
      <c r="F182" s="83"/>
      <c r="G182" s="83"/>
      <c r="H182" s="83"/>
    </row>
    <row r="183" spans="1:8">
      <c r="A183" s="86"/>
      <c r="B183" s="83"/>
      <c r="C183" s="107">
        <f>IF(ISERR(ROUND($H$122/($B$10+$B$13),0)),0,ROUND($H$122/($B$10+$B$13),0))</f>
        <v>1143</v>
      </c>
      <c r="D183" s="174" t="s">
        <v>42</v>
      </c>
      <c r="E183" s="83"/>
      <c r="F183" s="83"/>
      <c r="G183" s="83"/>
      <c r="H183" s="83"/>
    </row>
    <row r="184" spans="1:8">
      <c r="A184" s="86"/>
      <c r="B184" s="83"/>
      <c r="C184" s="107">
        <f>IF(ISERR(ROUND($H$180/($B$9+$B$13),0)),0,ROUND($H$180/($B$9+$B$13),0))</f>
        <v>2868</v>
      </c>
      <c r="D184" s="174" t="s">
        <v>40</v>
      </c>
      <c r="E184" s="83"/>
      <c r="F184" s="83"/>
      <c r="G184" s="83"/>
      <c r="H184" s="83"/>
    </row>
    <row r="185" spans="1:8">
      <c r="A185" s="83"/>
      <c r="B185" s="83"/>
      <c r="C185" s="107">
        <f>IF(ISERR(ROUND($H$180/($B$10+$B$13),0)),0,ROUND($H$180/($B$10+$B$13),0))</f>
        <v>2550</v>
      </c>
      <c r="D185" s="174" t="s">
        <v>39</v>
      </c>
      <c r="E185" s="83"/>
      <c r="F185" s="83"/>
      <c r="G185" s="83"/>
      <c r="H185" s="83"/>
    </row>
    <row r="186" spans="1:8" ht="5.75" customHeight="1">
      <c r="A186" s="83"/>
      <c r="B186" s="83"/>
      <c r="C186" s="107"/>
      <c r="D186" s="174"/>
      <c r="E186" s="83"/>
      <c r="F186" s="83"/>
      <c r="G186" s="83"/>
      <c r="H186" s="83"/>
    </row>
    <row r="187" spans="1:8">
      <c r="A187" s="125" t="s">
        <v>34</v>
      </c>
      <c r="B187" s="149"/>
      <c r="C187" s="149"/>
      <c r="D187" s="149"/>
      <c r="E187" s="149"/>
      <c r="F187" s="149"/>
      <c r="G187" s="149"/>
      <c r="H187" s="149"/>
    </row>
    <row r="188" spans="1:8">
      <c r="A188" s="475" t="s">
        <v>73</v>
      </c>
      <c r="B188" s="409"/>
      <c r="C188" s="409"/>
      <c r="D188" s="409"/>
      <c r="E188" s="409"/>
      <c r="F188" s="409"/>
      <c r="G188" s="409"/>
      <c r="H188" s="476"/>
    </row>
    <row r="189" spans="1:8">
      <c r="A189" s="475" t="s">
        <v>73</v>
      </c>
      <c r="B189" s="409"/>
      <c r="C189" s="409"/>
      <c r="D189" s="409"/>
      <c r="E189" s="409"/>
      <c r="F189" s="409"/>
      <c r="G189" s="409"/>
      <c r="H189" s="476"/>
    </row>
    <row r="190" spans="1:8">
      <c r="A190" s="475" t="s">
        <v>73</v>
      </c>
      <c r="B190" s="409"/>
      <c r="C190" s="409"/>
      <c r="D190" s="409"/>
      <c r="E190" s="409"/>
      <c r="F190" s="409"/>
      <c r="G190" s="409"/>
      <c r="H190" s="476"/>
    </row>
    <row r="191" spans="1:8">
      <c r="A191" s="475" t="s">
        <v>73</v>
      </c>
      <c r="B191" s="409"/>
      <c r="C191" s="409"/>
      <c r="D191" s="409"/>
      <c r="E191" s="409"/>
      <c r="F191" s="409"/>
      <c r="G191" s="409"/>
      <c r="H191" s="476"/>
    </row>
    <row r="192" spans="1:8">
      <c r="A192" s="475" t="s">
        <v>73</v>
      </c>
      <c r="B192" s="409"/>
      <c r="C192" s="409"/>
      <c r="D192" s="409"/>
      <c r="E192" s="409"/>
      <c r="F192" s="409"/>
      <c r="G192" s="409"/>
      <c r="H192" s="476"/>
    </row>
  </sheetData>
  <sheetProtection algorithmName="SHA-512" hashValue="pl732KQiN+DllPVCHS3GDjxmOTU11wBr9s7k93M+dXSw79ngkbDKFd8rKVazodGcGYCUQ1Mx0pxyZr83r3fy4Q==" saltValue="7/qrJcFFDBuE4c6NZtKrTg==" spinCount="100000" sheet="1" objects="1" scenarios="1" selectLockedCells="1" selectUnlockedCells="1"/>
  <mergeCells count="40">
    <mergeCell ref="B44:C44"/>
    <mergeCell ref="B3:E3"/>
    <mergeCell ref="C4:E8"/>
    <mergeCell ref="B41:C41"/>
    <mergeCell ref="B42:C42"/>
    <mergeCell ref="B43:C43"/>
    <mergeCell ref="B67:D67"/>
    <mergeCell ref="B46:C46"/>
    <mergeCell ref="B47:C47"/>
    <mergeCell ref="B48:C48"/>
    <mergeCell ref="B49:C49"/>
    <mergeCell ref="B51:C51"/>
    <mergeCell ref="B52:C52"/>
    <mergeCell ref="B53:C53"/>
    <mergeCell ref="B55:C55"/>
    <mergeCell ref="B56:C56"/>
    <mergeCell ref="B57:C57"/>
    <mergeCell ref="B66:D66"/>
    <mergeCell ref="A153:C153"/>
    <mergeCell ref="A69:G69"/>
    <mergeCell ref="A104:G104"/>
    <mergeCell ref="B105:D105"/>
    <mergeCell ref="A106:G106"/>
    <mergeCell ref="B107:D107"/>
    <mergeCell ref="B108:D108"/>
    <mergeCell ref="B109:D109"/>
    <mergeCell ref="B110:D110"/>
    <mergeCell ref="B111:D111"/>
    <mergeCell ref="B112:D112"/>
    <mergeCell ref="A113:G113"/>
    <mergeCell ref="A164:C164"/>
    <mergeCell ref="A176:C176"/>
    <mergeCell ref="A177:C177"/>
    <mergeCell ref="A178:C178"/>
    <mergeCell ref="A154:C154"/>
    <mergeCell ref="A155:C155"/>
    <mergeCell ref="A156:C156"/>
    <mergeCell ref="A161:C161"/>
    <mergeCell ref="A162:C162"/>
    <mergeCell ref="A163:C163"/>
  </mergeCells>
  <conditionalFormatting sqref="A18:C18 E18 A21:C21 E21 A24:C24 E24 A30:C30 E30 A33:C33 E33 A36:C36 E36 A74:G74 A79:G79 A84:G84 A89:G89 A94:G94 A99:G99 A109:G109 A112:G112">
    <cfRule type="expression" dxfId="101" priority="84">
      <formula>$B$5="AA"</formula>
    </cfRule>
    <cfRule type="expression" dxfId="100" priority="83">
      <formula>$B$5="IS"</formula>
    </cfRule>
    <cfRule type="expression" dxfId="99" priority="82">
      <formula>$B$5="MFR"</formula>
    </cfRule>
    <cfRule type="expression" dxfId="98" priority="81">
      <formula>$B$5="MP"</formula>
    </cfRule>
    <cfRule type="expression" dxfId="97" priority="80">
      <formula>$B$5="P&amp;D"</formula>
    </cfRule>
    <cfRule type="expression" dxfId="96" priority="79">
      <formula>$B$5="SP"</formula>
    </cfRule>
  </conditionalFormatting>
  <conditionalFormatting sqref="A40:G40 A45:G45 A50:G50 A54:G54 A61:G61 A69:G69 A106:G106 A117:G117 A124:G124 A139:G139 A146:G146 A166:B166 A168:B168 A170:G170 A180:G180 A187:H187">
    <cfRule type="expression" dxfId="95" priority="62">
      <formula>$B$5="P&amp;D"</formula>
    </cfRule>
    <cfRule type="expression" dxfId="94" priority="66">
      <formula>$B$5="AA"</formula>
    </cfRule>
    <cfRule type="expression" dxfId="93" priority="65">
      <formula>$B$5="IS"</formula>
    </cfRule>
    <cfRule type="expression" dxfId="92" priority="64">
      <formula>$B$5="MFR"</formula>
    </cfRule>
    <cfRule type="expression" dxfId="91" priority="61">
      <formula>$B$5="SP"</formula>
    </cfRule>
    <cfRule type="expression" dxfId="90" priority="63">
      <formula>$B$5="MP"</formula>
    </cfRule>
  </conditionalFormatting>
  <conditionalFormatting sqref="A1:H1">
    <cfRule type="expression" dxfId="89" priority="78">
      <formula>$B$5="AA"</formula>
    </cfRule>
    <cfRule type="expression" dxfId="88" priority="77">
      <formula>$B$5="IS"</formula>
    </cfRule>
    <cfRule type="expression" dxfId="87" priority="76">
      <formula>$B$5="MFR"</formula>
    </cfRule>
    <cfRule type="expression" dxfId="86" priority="75">
      <formula>$B$5="MP"</formula>
    </cfRule>
    <cfRule type="expression" dxfId="85" priority="74">
      <formula>$B$5="P&amp;D"</formula>
    </cfRule>
    <cfRule type="expression" dxfId="84" priority="73">
      <formula>$B$5="SP"</formula>
    </cfRule>
  </conditionalFormatting>
  <conditionalFormatting sqref="B3:E3 H3:H5 B4:C4 B5:B6 B9:B10 H9:H10 B13:B14 A19:C20 E19:E20 A22:C23 E22:E23 A31:C32 E31:E32 A34:C35 E34:E35 B41:E44 B46:E49 B51:E53 B55:E57 E67 A70:G73 A75:G78 A80:G83 A85:G88 A90:G93 A95:G98 A100:G103 A107:G108 A110:G111 E119:G119 C130:C132 C142 E143 C144 C147 E148 C149 E150:E156 A153:D156 C157 E159:E164 A161:D164 C166 C168 C173 E174:E178 A176:D178 A188:H192">
    <cfRule type="expression" dxfId="83" priority="50">
      <formula>$B$5="P&amp;D"</formula>
    </cfRule>
    <cfRule type="expression" dxfId="82" priority="54">
      <formula>$B$5="AA"</formula>
    </cfRule>
    <cfRule type="expression" dxfId="81" priority="53">
      <formula>$B$5="IS"</formula>
    </cfRule>
    <cfRule type="expression" dxfId="80" priority="52">
      <formula>$B$5="MFR"</formula>
    </cfRule>
    <cfRule type="expression" dxfId="79" priority="51">
      <formula>$B$5="MP"</formula>
    </cfRule>
  </conditionalFormatting>
  <conditionalFormatting sqref="B41:E44 B46:E49 B51:E53 B55:E57 H9:H10 C142 B3:E3 H3:H5 B4:C4 B5:B6 B9:B10 B13:B14 A19:C20 E19:E20 A22:C23 E22:E23 A31:C32 E31:E32 A34:C35 E34:E35 E67 A70:G73 A75:G78 A80:G83 A85:G88 A90:G93 A95:G98 A100:G103 A107:G108 A110:G111 E119:G119 C130:C132 E143 C144 C147 E148 C149 E150:E156 A153:D156 C157 E159:E164 A161:D164 C166 C168 C173 E174:E178 A176:D178 A188:H192">
    <cfRule type="expression" dxfId="78" priority="49">
      <formula>$B$5="SP"</formula>
    </cfRule>
  </conditionalFormatting>
  <conditionalFormatting sqref="C137">
    <cfRule type="expression" dxfId="76" priority="24">
      <formula>$B$5="SP"</formula>
    </cfRule>
    <cfRule type="expression" dxfId="75" priority="25">
      <formula>$B$5="P&amp;D"</formula>
    </cfRule>
    <cfRule type="expression" dxfId="74" priority="26">
      <formula>$B$5="MP"</formula>
    </cfRule>
    <cfRule type="expression" dxfId="73" priority="27">
      <formula>$B$5="MFR"</formula>
    </cfRule>
    <cfRule type="expression" dxfId="72" priority="28">
      <formula>$B$5="IS"</formula>
    </cfRule>
    <cfRule type="expression" dxfId="71" priority="29">
      <formula>$B$5="AA"</formula>
    </cfRule>
  </conditionalFormatting>
  <conditionalFormatting sqref="C142">
    <cfRule type="cellIs" dxfId="70" priority="1" operator="equal">
      <formula>$D$140</formula>
    </cfRule>
    <cfRule type="cellIs" dxfId="69" priority="3" operator="lessThan">
      <formula>$D$140</formula>
    </cfRule>
    <cfRule type="cellIs" dxfId="68" priority="2" operator="greaterThan">
      <formula>$D$140</formula>
    </cfRule>
  </conditionalFormatting>
  <conditionalFormatting sqref="D18 F18:G18 D21 F21:G21 D24 F24:G24 D30 F30:G30 D33 F33:G33 D36 F36:G36">
    <cfRule type="expression" dxfId="67" priority="70">
      <formula>$B$5="MFR"</formula>
    </cfRule>
    <cfRule type="expression" dxfId="66" priority="72">
      <formula>$B$5="AA"</formula>
    </cfRule>
    <cfRule type="expression" dxfId="65" priority="68">
      <formula>$B$5="P&amp;D"</formula>
    </cfRule>
    <cfRule type="expression" dxfId="64" priority="67">
      <formula>$B$5="SP"</formula>
    </cfRule>
    <cfRule type="expression" dxfId="63" priority="69">
      <formula>$B$5="MP"</formula>
    </cfRule>
    <cfRule type="expression" dxfId="62" priority="71">
      <formula>$B$5="IS"</formula>
    </cfRule>
  </conditionalFormatting>
  <conditionalFormatting sqref="D166:F166 D168:F168">
    <cfRule type="expression" dxfId="61" priority="60">
      <formula>$B$5="AA"</formula>
    </cfRule>
    <cfRule type="expression" dxfId="60" priority="59">
      <formula>$B$5="IS"</formula>
    </cfRule>
    <cfRule type="expression" dxfId="59" priority="58">
      <formula>$B$5="MFR"</formula>
    </cfRule>
    <cfRule type="expression" dxfId="58" priority="57">
      <formula>$B$5="MP"</formula>
    </cfRule>
    <cfRule type="expression" dxfId="57" priority="56">
      <formula>$B$5="P&amp;D"</formula>
    </cfRule>
    <cfRule type="expression" dxfId="56" priority="55">
      <formula>$B$5="SP"</formula>
    </cfRule>
  </conditionalFormatting>
  <conditionalFormatting sqref="E41:E44">
    <cfRule type="cellIs" dxfId="55" priority="41" operator="greaterThan">
      <formula>$F41</formula>
    </cfRule>
    <cfRule type="cellIs" dxfId="54" priority="42" operator="lessThan">
      <formula>$F41</formula>
    </cfRule>
  </conditionalFormatting>
  <conditionalFormatting sqref="E46:E49 E51:E53 E55:E57">
    <cfRule type="cellIs" dxfId="53" priority="40" operator="lessThan">
      <formula>$F46</formula>
    </cfRule>
    <cfRule type="cellIs" dxfId="52" priority="39" operator="greaterThan">
      <formula>$F46</formula>
    </cfRule>
  </conditionalFormatting>
  <conditionalFormatting sqref="G137">
    <cfRule type="expression" dxfId="51" priority="23">
      <formula>$B$5="AA"</formula>
    </cfRule>
    <cfRule type="expression" dxfId="50" priority="21">
      <formula>$B$5="MFR"</formula>
    </cfRule>
    <cfRule type="expression" dxfId="49" priority="20">
      <formula>$B$5="MP"</formula>
    </cfRule>
    <cfRule type="expression" dxfId="48" priority="19">
      <formula>$B$5="P&amp;D"</formula>
    </cfRule>
    <cfRule type="expression" dxfId="47" priority="18">
      <formula>$B$5="SP"</formula>
    </cfRule>
    <cfRule type="expression" dxfId="45" priority="22">
      <formula>$B$5="IS"</formula>
    </cfRule>
  </conditionalFormatting>
  <conditionalFormatting sqref="G166">
    <cfRule type="expression" dxfId="44" priority="13">
      <formula>$B$5="MFR"</formula>
    </cfRule>
    <cfRule type="expression" dxfId="43" priority="12">
      <formula>$B$5="MP"</formula>
    </cfRule>
    <cfRule type="expression" dxfId="42" priority="11">
      <formula>$B$5="P&amp;D"</formula>
    </cfRule>
    <cfRule type="expression" dxfId="41" priority="10">
      <formula>$B$5="SP"</formula>
    </cfRule>
    <cfRule type="expression" dxfId="40" priority="15">
      <formula>$B$5="AA"</formula>
    </cfRule>
    <cfRule type="expression" dxfId="39" priority="14">
      <formula>$B$5="IS"</formula>
    </cfRule>
  </conditionalFormatting>
  <conditionalFormatting sqref="G168">
    <cfRule type="expression" dxfId="38" priority="8">
      <formula>$B$5="IS"</formula>
    </cfRule>
    <cfRule type="expression" dxfId="37" priority="9">
      <formula>$B$5="AA"</formula>
    </cfRule>
    <cfRule type="expression" dxfId="36" priority="7">
      <formula>$B$5="MFR"</formula>
    </cfRule>
    <cfRule type="expression" dxfId="35" priority="6">
      <formula>$B$5="MP"</formula>
    </cfRule>
    <cfRule type="expression" dxfId="34" priority="5">
      <formula>$B$5="P&amp;D"</formula>
    </cfRule>
    <cfRule type="expression" dxfId="33" priority="4">
      <formula>$B$5="SP"</formula>
    </cfRule>
  </conditionalFormatting>
  <conditionalFormatting sqref="H6">
    <cfRule type="expression" dxfId="32" priority="102">
      <formula>$B$5="AA"</formula>
    </cfRule>
    <cfRule type="expression" dxfId="31" priority="89">
      <formula>IF(AND($B5="SP",$H6&gt;600000),$H$180)</formula>
    </cfRule>
    <cfRule type="expression" dxfId="30" priority="101">
      <formula>$B$5="IS"</formula>
    </cfRule>
    <cfRule type="expression" dxfId="29" priority="100">
      <formula>$B$5="MFR"</formula>
    </cfRule>
    <cfRule type="expression" dxfId="28" priority="99">
      <formula>$B$5="MP"</formula>
    </cfRule>
    <cfRule type="expression" dxfId="27" priority="98">
      <formula>$B$5="P&amp;D"</formula>
    </cfRule>
    <cfRule type="expression" dxfId="26" priority="97">
      <formula>$B$5="SP"</formula>
    </cfRule>
    <cfRule type="expression" dxfId="25" priority="96">
      <formula>IF(AND($B5="MFR",$H6&gt;7400000),$H$180)</formula>
    </cfRule>
    <cfRule type="expression" dxfId="24" priority="95">
      <formula>IF(AND($B5="MFR",$H6&gt;=6000000,$H6&lt;=7400000),$H$180)</formula>
    </cfRule>
    <cfRule type="expression" dxfId="23" priority="94">
      <formula>IF(AND($B5="MFR",$H6&gt;7400000),$H$180)</formula>
    </cfRule>
    <cfRule type="expression" dxfId="22" priority="93">
      <formula>IF(AND($B5="IS",$H6&gt;7400000),$H$180)</formula>
    </cfRule>
    <cfRule type="expression" dxfId="21" priority="92">
      <formula>IF(AND($B5="IS",$H6&gt;=6000000,$H6&lt;=7400000),$H$180)</formula>
    </cfRule>
    <cfRule type="expression" dxfId="20" priority="91">
      <formula>IF(AND($B5="AA",$H6&gt;=5000000),$H$180)</formula>
    </cfRule>
    <cfRule type="expression" dxfId="19" priority="90">
      <formula>IF(AND($B5="AA",$H6&gt;=6000000,$H6&lt;=5000000),$H$180)</formula>
    </cfRule>
  </conditionalFormatting>
  <conditionalFormatting sqref="H9">
    <cfRule type="expression" dxfId="16" priority="32">
      <formula>$H$9&gt;NOW()</formula>
    </cfRule>
  </conditionalFormatting>
  <conditionalFormatting sqref="H12">
    <cfRule type="cellIs" dxfId="14" priority="86" operator="lessThan">
      <formula>$H$11</formula>
    </cfRule>
    <cfRule type="cellIs" dxfId="13" priority="88" operator="equal">
      <formula>$H$11</formula>
    </cfRule>
    <cfRule type="cellIs" dxfId="12" priority="87" operator="greaterThan">
      <formula>$H$11</formula>
    </cfRule>
  </conditionalFormatting>
  <conditionalFormatting sqref="H59">
    <cfRule type="expression" dxfId="11" priority="85">
      <formula>($G$59="ERROR?")</formula>
    </cfRule>
  </conditionalFormatting>
  <conditionalFormatting sqref="H180 H61 H117 H124 H139:H141 H146 H166 H168 H170">
    <cfRule type="expression" dxfId="10" priority="43">
      <formula>$B$5="SP"</formula>
    </cfRule>
    <cfRule type="expression" dxfId="9" priority="44">
      <formula>$B$5="P&amp;D"</formula>
    </cfRule>
    <cfRule type="expression" dxfId="8" priority="45">
      <formula>$B$5="MP"</formula>
    </cfRule>
    <cfRule type="expression" dxfId="7" priority="46">
      <formula>$B$5="MFR"</formula>
    </cfRule>
    <cfRule type="expression" dxfId="6" priority="47">
      <formula>$B$5="IS"</formula>
    </cfRule>
    <cfRule type="expression" dxfId="5" priority="48">
      <formula>$B$5="AA"</formula>
    </cfRule>
  </conditionalFormatting>
  <conditionalFormatting sqref="H180">
    <cfRule type="expression" dxfId="4" priority="34">
      <formula>IF(AND($B5="MFR",$H6&gt;7400000),$H$180)</formula>
    </cfRule>
    <cfRule type="expression" dxfId="3" priority="35">
      <formula>IF(AND($B5="SP",$H6&gt;300000),$H$180)</formula>
    </cfRule>
    <cfRule type="expression" dxfId="2" priority="36">
      <formula>IF(AND($B5="IS",$H6&gt;7400000),$H$180)</formula>
    </cfRule>
    <cfRule type="expression" dxfId="1" priority="37">
      <formula>IF(AND($B5="AA",$H6&gt;=5000000),$H$180)</formula>
    </cfRule>
    <cfRule type="expression" dxfId="0" priority="38">
      <formula>IF(AND($B5="AA",$H6&gt;=3000000,$H6&lt;=5000000),$H$180)</formula>
    </cfRule>
  </conditionalFormatting>
  <printOptions horizontalCentered="1"/>
  <pageMargins left="0.25" right="0.25" top="0.25" bottom="0.5" header="0.25" footer="0.25"/>
  <pageSetup orientation="portrait" horizontalDpi="4294967292" verticalDpi="4294967292" r:id="rId1"/>
  <headerFooter>
    <oddFooter>&amp;L&amp;"Arial Narrow,Regular"&amp;8&amp;K000000&amp;D&amp;C&amp;"Arial Narrow,Regular"&amp;8&amp;K000000PBW&amp;R&amp;"Arial Narrow,Regular"&amp;8&amp;K000000&amp;P of &amp;N</oddFooter>
  </headerFooter>
  <rowBreaks count="3" manualBreakCount="3">
    <brk id="61" max="16383" man="1"/>
    <brk id="120" max="16383" man="1"/>
    <brk id="179" max="16383" man="1"/>
  </rowBreaks>
  <ignoredErrors>
    <ignoredError sqref="C137 E42:E44 E46:E49 E51:E53 E55:E57"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ellIs" priority="17" operator="notEqual" id="{363F6803-72AC-B741-B9AB-B4D5627BE010}">
            <xm:f>LOOKUPS!$M$2</xm:f>
            <x14:dxf>
              <font>
                <color rgb="FF9C0006"/>
              </font>
              <fill>
                <patternFill>
                  <bgColor rgb="FFFFC7CE"/>
                </patternFill>
              </fill>
            </x14:dxf>
          </x14:cfRule>
          <xm:sqref>C137</xm:sqref>
        </x14:conditionalFormatting>
        <x14:conditionalFormatting xmlns:xm="http://schemas.microsoft.com/office/excel/2006/main">
          <x14:cfRule type="cellIs" priority="16" operator="notEqual" id="{1D4BE719-4674-8E42-80F6-893A93E2D7F2}">
            <xm:f>LOOKUPS!$M$3</xm:f>
            <x14:dxf>
              <font>
                <color rgb="FF9C0006"/>
              </font>
              <fill>
                <patternFill>
                  <bgColor rgb="FFFFC7CE"/>
                </patternFill>
              </fill>
            </x14:dxf>
          </x14:cfRule>
          <xm:sqref>G137</xm:sqref>
        </x14:conditionalFormatting>
        <x14:conditionalFormatting xmlns:xm="http://schemas.microsoft.com/office/excel/2006/main">
          <x14:cfRule type="expression" priority="33" id="{4298D8EA-DBD8-814C-B946-FF772B80082A}">
            <xm:f>$H$9&gt;LOOKUPS!$A$2</xm:f>
            <x14:dxf>
              <font>
                <color rgb="FF9C0006"/>
              </font>
              <fill>
                <patternFill>
                  <bgColor rgb="FFFFC7CE"/>
                </patternFill>
              </fill>
            </x14:dxf>
          </x14:cfRule>
          <x14:cfRule type="cellIs" priority="30" operator="between" id="{72AE5543-378B-9D4A-82C1-B1E03B718B59}">
            <xm:f>LOOKUPS!$A$4</xm:f>
            <xm:f>LOOKUPS!$A$5</xm:f>
            <x14:dxf>
              <font>
                <color rgb="FF9C5700"/>
              </font>
              <fill>
                <patternFill>
                  <bgColor rgb="FFFFEB9C"/>
                </patternFill>
              </fill>
            </x14:dxf>
          </x14:cfRule>
          <x14:cfRule type="expression" priority="31" id="{4B3F5872-E67C-7742-9920-B7BAA11387C7}">
            <xm:f>$H$9&lt;LOOKUPS!$A$5</xm:f>
            <x14:dxf>
              <font>
                <color rgb="FF9C0006"/>
              </font>
              <fill>
                <patternFill>
                  <bgColor rgb="FFFFC7CE"/>
                </patternFill>
              </fill>
            </x14:dxf>
          </x14:cfRule>
          <xm:sqref>H9</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46572728-A2EC-9F4C-944C-0236BCF318C5}">
          <x14:formula1>
            <xm:f>LOOKUPS!$S$2:$S$4</xm:f>
          </x14:formula1>
          <xm:sqref>C141</xm:sqref>
        </x14:dataValidation>
        <x14:dataValidation type="list" allowBlank="1" showInputMessage="1" showErrorMessage="1" xr:uid="{FA2A9ABF-AA2D-8948-8C6E-A2D64357DD27}">
          <x14:formula1>
            <xm:f>LOOKUPS!$Q$2:$Q$3</xm:f>
          </x14:formula1>
          <xm:sqref>C140</xm:sqref>
        </x14:dataValidation>
        <x14:dataValidation type="list" allowBlank="1" showInputMessage="1" showErrorMessage="1" xr:uid="{A3FD7E60-B0A2-844F-931E-36B82C2B344E}">
          <x14:formula1>
            <xm:f>LOOKUPS!$O$2:$O$4</xm:f>
          </x14:formula1>
          <xm:sqref>G135</xm:sqref>
        </x14:dataValidation>
        <x14:dataValidation type="list" allowBlank="1" showInputMessage="1" showErrorMessage="1" xr:uid="{A23AA0B8-8BAB-8D4E-9957-81210F21D690}">
          <x14:formula1>
            <xm:f>LOOKUPS!$J$2:$J$20</xm:f>
          </x14:formula1>
          <xm:sqref>B4</xm:sqref>
        </x14:dataValidation>
        <x14:dataValidation type="list" allowBlank="1" showInputMessage="1" showErrorMessage="1" xr:uid="{7DEE5648-0454-784F-9512-6D347E99FD49}">
          <x14:formula1>
            <xm:f>LOOKUPS!$C$2:$C$8</xm:f>
          </x14:formula1>
          <xm:sqref>B5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693AE-1D1F-4747-9F8E-508E5C8FBE48}">
  <sheetPr codeName="Sheet14"/>
  <dimension ref="A1:AC20"/>
  <sheetViews>
    <sheetView showGridLines="0" zoomScaleNormal="100" workbookViewId="0"/>
  </sheetViews>
  <sheetFormatPr baseColWidth="10" defaultRowHeight="12"/>
  <cols>
    <col min="1" max="1" width="11.19921875" bestFit="1" customWidth="1"/>
    <col min="3" max="3" width="13.19921875" bestFit="1" customWidth="1"/>
    <col min="4" max="4" width="24.3984375" bestFit="1" customWidth="1"/>
    <col min="6" max="6" width="11.3984375" bestFit="1" customWidth="1"/>
    <col min="7" max="7" width="13.796875" bestFit="1" customWidth="1"/>
    <col min="8" max="8" width="11.19921875" bestFit="1" customWidth="1"/>
    <col min="12" max="13" width="21" customWidth="1"/>
    <col min="15" max="15" width="17.796875" bestFit="1" customWidth="1"/>
    <col min="16" max="16" width="11" customWidth="1"/>
    <col min="17" max="17" width="15" bestFit="1" customWidth="1"/>
    <col min="18" max="18" width="15" customWidth="1"/>
    <col min="19" max="19" width="19.59765625" bestFit="1" customWidth="1"/>
    <col min="21" max="21" width="20.3984375" bestFit="1" customWidth="1"/>
    <col min="22" max="22" width="18.3984375" bestFit="1" customWidth="1"/>
    <col min="23" max="23" width="16.59765625" bestFit="1" customWidth="1"/>
    <col min="24" max="24" width="20.3984375" bestFit="1" customWidth="1"/>
    <col min="25" max="25" width="17.19921875" bestFit="1" customWidth="1"/>
    <col min="26" max="26" width="11.796875" bestFit="1" customWidth="1"/>
    <col min="27" max="27" width="16.59765625" bestFit="1" customWidth="1"/>
    <col min="28" max="28" width="20.3984375" bestFit="1" customWidth="1"/>
    <col min="29" max="29" width="17.19921875" bestFit="1" customWidth="1"/>
  </cols>
  <sheetData>
    <row r="1" spans="1:29" ht="14">
      <c r="A1" s="209" t="s">
        <v>431</v>
      </c>
      <c r="B1" s="209"/>
      <c r="C1" s="298" t="s">
        <v>161</v>
      </c>
      <c r="D1" s="209"/>
      <c r="E1" s="209"/>
      <c r="F1" s="299" t="s">
        <v>175</v>
      </c>
      <c r="G1" s="209"/>
      <c r="H1" s="209"/>
      <c r="I1" s="209"/>
      <c r="J1" s="299" t="s">
        <v>283</v>
      </c>
      <c r="K1" s="209"/>
      <c r="L1" s="577" t="s">
        <v>306</v>
      </c>
      <c r="M1" s="577"/>
      <c r="N1" s="209"/>
      <c r="O1" s="299" t="s">
        <v>316</v>
      </c>
      <c r="P1" s="209"/>
      <c r="Q1" s="299" t="s">
        <v>368</v>
      </c>
      <c r="R1" s="299"/>
      <c r="S1" s="299" t="s">
        <v>370</v>
      </c>
      <c r="T1" s="209"/>
      <c r="U1" s="586" t="s">
        <v>359</v>
      </c>
      <c r="V1" s="586"/>
      <c r="W1" s="586"/>
      <c r="X1" s="586"/>
      <c r="Y1" s="586"/>
      <c r="Z1" s="586"/>
      <c r="AA1" s="586"/>
      <c r="AB1" s="586"/>
      <c r="AC1" s="586"/>
    </row>
    <row r="2" spans="1:29" ht="14">
      <c r="A2" s="300">
        <v>45778</v>
      </c>
      <c r="B2" s="209"/>
      <c r="C2" s="301" t="s">
        <v>162</v>
      </c>
      <c r="D2" s="209" t="s">
        <v>168</v>
      </c>
      <c r="E2" s="209"/>
      <c r="F2" s="224">
        <v>5000</v>
      </c>
      <c r="G2" s="224">
        <v>600000</v>
      </c>
      <c r="H2" s="209">
        <v>182.5</v>
      </c>
      <c r="I2" s="209"/>
      <c r="J2" s="209" t="s">
        <v>284</v>
      </c>
      <c r="K2" s="209"/>
      <c r="L2" s="207" t="s">
        <v>305</v>
      </c>
      <c r="M2" s="308">
        <v>0.01</v>
      </c>
      <c r="N2" s="209"/>
      <c r="O2" s="209" t="s">
        <v>317</v>
      </c>
      <c r="P2" s="209"/>
      <c r="Q2" s="209" t="s">
        <v>65</v>
      </c>
      <c r="R2" s="209"/>
      <c r="S2" s="209" t="s">
        <v>351</v>
      </c>
      <c r="T2" s="209"/>
      <c r="U2" s="578" t="s">
        <v>354</v>
      </c>
      <c r="V2" s="579"/>
      <c r="W2" s="580" t="s">
        <v>355</v>
      </c>
      <c r="X2" s="581"/>
      <c r="Y2" s="582"/>
      <c r="Z2" s="371" t="s">
        <v>357</v>
      </c>
      <c r="AA2" s="583" t="s">
        <v>356</v>
      </c>
      <c r="AB2" s="584"/>
      <c r="AC2" s="585"/>
    </row>
    <row r="3" spans="1:29" ht="14">
      <c r="A3" s="300">
        <f ca="1">TODAY()</f>
        <v>45777</v>
      </c>
      <c r="B3" s="309" t="s">
        <v>299</v>
      </c>
      <c r="C3" s="302" t="s">
        <v>163</v>
      </c>
      <c r="D3" s="209" t="s">
        <v>169</v>
      </c>
      <c r="E3" s="209"/>
      <c r="F3" s="224">
        <v>600000</v>
      </c>
      <c r="G3" s="224">
        <v>3000000</v>
      </c>
      <c r="H3" s="209">
        <v>365</v>
      </c>
      <c r="I3" s="209"/>
      <c r="J3" s="209" t="s">
        <v>285</v>
      </c>
      <c r="K3" s="209"/>
      <c r="L3" s="207" t="s">
        <v>307</v>
      </c>
      <c r="M3" s="310">
        <v>21250000</v>
      </c>
      <c r="N3" s="209"/>
      <c r="O3" s="209" t="s">
        <v>318</v>
      </c>
      <c r="P3" s="209"/>
      <c r="Q3" s="209" t="s">
        <v>369</v>
      </c>
      <c r="R3" s="209"/>
      <c r="S3" s="209" t="s">
        <v>353</v>
      </c>
      <c r="T3" s="209"/>
      <c r="U3" s="376" t="s">
        <v>360</v>
      </c>
      <c r="V3" s="377" t="s">
        <v>361</v>
      </c>
      <c r="W3" s="378" t="s">
        <v>362</v>
      </c>
      <c r="X3" s="378" t="s">
        <v>363</v>
      </c>
      <c r="Y3" s="378" t="s">
        <v>364</v>
      </c>
      <c r="Z3" s="377" t="s">
        <v>358</v>
      </c>
      <c r="AA3" s="379" t="s">
        <v>365</v>
      </c>
      <c r="AB3" s="379" t="s">
        <v>366</v>
      </c>
      <c r="AC3" s="380" t="s">
        <v>367</v>
      </c>
    </row>
    <row r="4" spans="1:29" ht="14">
      <c r="A4" s="300">
        <f ca="1">TODAY()-730</f>
        <v>45047</v>
      </c>
      <c r="B4" s="309" t="s">
        <v>300</v>
      </c>
      <c r="C4" s="303" t="s">
        <v>164</v>
      </c>
      <c r="D4" s="209" t="s">
        <v>170</v>
      </c>
      <c r="E4" s="209"/>
      <c r="F4" s="224">
        <v>3000000</v>
      </c>
      <c r="G4" s="224">
        <v>7400000</v>
      </c>
      <c r="H4" s="209">
        <v>547.5</v>
      </c>
      <c r="I4" s="209"/>
      <c r="J4" s="209" t="s">
        <v>286</v>
      </c>
      <c r="K4" s="209"/>
      <c r="L4" s="209"/>
      <c r="M4" s="209"/>
      <c r="N4" s="209"/>
      <c r="O4" s="209" t="s">
        <v>319</v>
      </c>
      <c r="P4" s="209"/>
      <c r="Q4" s="209"/>
      <c r="R4" s="209"/>
      <c r="S4" s="209" t="s">
        <v>352</v>
      </c>
      <c r="T4" s="209"/>
      <c r="U4" s="372">
        <v>5000</v>
      </c>
      <c r="V4" s="367">
        <v>100000</v>
      </c>
      <c r="W4" s="368">
        <v>0.128</v>
      </c>
      <c r="X4" s="368">
        <v>0.13600000000000001</v>
      </c>
      <c r="Y4" s="368">
        <v>0.14199999999999999</v>
      </c>
      <c r="Z4" s="368">
        <v>0</v>
      </c>
      <c r="AA4" s="368">
        <v>0.13</v>
      </c>
      <c r="AB4" s="368">
        <v>0.14000000000000001</v>
      </c>
      <c r="AC4" s="374">
        <v>0.16</v>
      </c>
    </row>
    <row r="5" spans="1:29" ht="14">
      <c r="A5" s="300">
        <f ca="1">TODAY()-1460</f>
        <v>44317</v>
      </c>
      <c r="B5" s="309" t="s">
        <v>301</v>
      </c>
      <c r="C5" s="304" t="s">
        <v>165</v>
      </c>
      <c r="D5" s="209" t="s">
        <v>171</v>
      </c>
      <c r="E5" s="209"/>
      <c r="F5" s="224">
        <v>7400000</v>
      </c>
      <c r="G5" s="224">
        <v>15000000</v>
      </c>
      <c r="H5" s="209">
        <v>912.5</v>
      </c>
      <c r="I5" s="209"/>
      <c r="J5" s="209" t="s">
        <v>287</v>
      </c>
      <c r="K5" s="209"/>
      <c r="L5" s="209"/>
      <c r="M5" s="209"/>
      <c r="N5" s="209"/>
      <c r="O5" s="209"/>
      <c r="P5" s="209"/>
      <c r="Q5" s="209"/>
      <c r="R5" s="209"/>
      <c r="S5" s="209"/>
      <c r="T5" s="209"/>
      <c r="U5" s="373">
        <v>100001</v>
      </c>
      <c r="V5" s="369">
        <v>500000</v>
      </c>
      <c r="W5" s="370">
        <v>0.123</v>
      </c>
      <c r="X5" s="370">
        <v>0.13300000000000001</v>
      </c>
      <c r="Y5" s="370">
        <v>0.14099999999999999</v>
      </c>
      <c r="Z5" s="370">
        <v>0</v>
      </c>
      <c r="AA5" s="370">
        <v>0.125</v>
      </c>
      <c r="AB5" s="370">
        <v>0.13500000000000001</v>
      </c>
      <c r="AC5" s="375">
        <v>0.14299999999999999</v>
      </c>
    </row>
    <row r="6" spans="1:29" ht="14">
      <c r="A6" s="209"/>
      <c r="B6" s="209"/>
      <c r="C6" s="305" t="s">
        <v>166</v>
      </c>
      <c r="D6" s="209" t="s">
        <v>172</v>
      </c>
      <c r="E6" s="209"/>
      <c r="F6" s="224">
        <v>15000000</v>
      </c>
      <c r="G6" s="224">
        <v>30000000</v>
      </c>
      <c r="H6" s="209">
        <v>1095</v>
      </c>
      <c r="I6" s="209"/>
      <c r="J6" s="209" t="s">
        <v>288</v>
      </c>
      <c r="K6" s="209"/>
      <c r="L6" s="209"/>
      <c r="M6" s="209"/>
      <c r="N6" s="209"/>
      <c r="O6" s="209"/>
      <c r="P6" s="209"/>
      <c r="Q6" s="209"/>
      <c r="R6" s="209"/>
      <c r="S6" s="209"/>
      <c r="T6" s="209"/>
      <c r="U6" s="373">
        <v>500001</v>
      </c>
      <c r="V6" s="369">
        <v>1000000</v>
      </c>
      <c r="W6" s="370">
        <v>9.9000000000000005E-2</v>
      </c>
      <c r="X6" s="370">
        <v>0.109</v>
      </c>
      <c r="Y6" s="370">
        <v>0.11600000000000001</v>
      </c>
      <c r="Z6" s="370">
        <v>0</v>
      </c>
      <c r="AA6" s="370">
        <v>0.10100000000000001</v>
      </c>
      <c r="AB6" s="370">
        <v>0.111</v>
      </c>
      <c r="AC6" s="375">
        <v>0.12</v>
      </c>
    </row>
    <row r="7" spans="1:29" ht="14">
      <c r="A7" s="209"/>
      <c r="B7" s="209"/>
      <c r="C7" s="306" t="s">
        <v>167</v>
      </c>
      <c r="D7" s="209" t="s">
        <v>173</v>
      </c>
      <c r="E7" s="209"/>
      <c r="F7" s="224">
        <v>30000000</v>
      </c>
      <c r="G7" s="224">
        <v>1000000000</v>
      </c>
      <c r="H7" s="209">
        <v>1277.5</v>
      </c>
      <c r="I7" s="209"/>
      <c r="J7" s="209" t="s">
        <v>289</v>
      </c>
      <c r="K7" s="209"/>
      <c r="L7" s="209"/>
      <c r="M7" s="209"/>
      <c r="N7" s="209"/>
      <c r="O7" s="209"/>
      <c r="P7" s="209"/>
      <c r="Q7" s="209"/>
      <c r="R7" s="209"/>
      <c r="S7" s="209"/>
      <c r="T7" s="209"/>
      <c r="U7" s="373">
        <v>1000001</v>
      </c>
      <c r="V7" s="369">
        <v>2500000</v>
      </c>
      <c r="W7" s="370">
        <v>8.7999999999999995E-2</v>
      </c>
      <c r="X7" s="370">
        <v>9.8000000000000004E-2</v>
      </c>
      <c r="Y7" s="370">
        <v>0.106</v>
      </c>
      <c r="Z7" s="370">
        <v>0</v>
      </c>
      <c r="AA7" s="370">
        <v>8.8999999999999996E-2</v>
      </c>
      <c r="AB7" s="370">
        <v>9.9000000000000005E-2</v>
      </c>
      <c r="AC7" s="375">
        <v>0.109</v>
      </c>
    </row>
    <row r="8" spans="1:29" ht="14">
      <c r="A8" s="209"/>
      <c r="B8" s="209"/>
      <c r="C8" s="307" t="s">
        <v>73</v>
      </c>
      <c r="D8" s="209" t="s">
        <v>174</v>
      </c>
      <c r="E8" s="209"/>
      <c r="F8" s="209"/>
      <c r="G8" s="209"/>
      <c r="H8" s="209"/>
      <c r="I8" s="209"/>
      <c r="J8" s="209" t="s">
        <v>290</v>
      </c>
      <c r="K8" s="209"/>
      <c r="L8" s="209"/>
      <c r="M8" s="209"/>
      <c r="N8" s="209"/>
      <c r="O8" s="209"/>
      <c r="P8" s="209"/>
      <c r="Q8" s="209"/>
      <c r="R8" s="209"/>
      <c r="S8" s="209"/>
      <c r="T8" s="209"/>
      <c r="U8" s="373">
        <v>2500001</v>
      </c>
      <c r="V8" s="369">
        <v>5000000</v>
      </c>
      <c r="W8" s="370">
        <v>7.2999999999999995E-2</v>
      </c>
      <c r="X8" s="370">
        <v>8.3000000000000004E-2</v>
      </c>
      <c r="Y8" s="370">
        <v>9.1999999999999998E-2</v>
      </c>
      <c r="Z8" s="370">
        <v>0</v>
      </c>
      <c r="AA8" s="370">
        <v>7.3999999999999996E-2</v>
      </c>
      <c r="AB8" s="370">
        <v>8.5000000000000006E-2</v>
      </c>
      <c r="AC8" s="375">
        <v>9.4E-2</v>
      </c>
    </row>
    <row r="9" spans="1:29" ht="14">
      <c r="A9" s="209"/>
      <c r="B9" s="209"/>
      <c r="C9" s="209"/>
      <c r="D9" s="209"/>
      <c r="E9" s="209"/>
      <c r="F9" s="209"/>
      <c r="G9" s="209"/>
      <c r="H9" s="209"/>
      <c r="I9" s="209"/>
      <c r="J9" s="209" t="s">
        <v>291</v>
      </c>
      <c r="K9" s="209"/>
      <c r="L9" s="209"/>
      <c r="M9" s="209"/>
      <c r="N9" s="209"/>
      <c r="O9" s="209"/>
      <c r="P9" s="209"/>
      <c r="Q9" s="209"/>
      <c r="R9" s="209"/>
      <c r="S9" s="209"/>
      <c r="T9" s="209"/>
      <c r="U9" s="373">
        <v>5000001</v>
      </c>
      <c r="V9" s="369">
        <v>30000000</v>
      </c>
      <c r="W9" s="370">
        <v>6.3E-2</v>
      </c>
      <c r="X9" s="370">
        <v>7.3999999999999996E-2</v>
      </c>
      <c r="Y9" s="370">
        <v>8.3000000000000004E-2</v>
      </c>
      <c r="Z9" s="370">
        <v>0</v>
      </c>
      <c r="AA9" s="370">
        <v>6.4000000000000001E-2</v>
      </c>
      <c r="AB9" s="370">
        <v>7.4999999999999997E-2</v>
      </c>
      <c r="AC9" s="375">
        <v>8.4000000000000005E-2</v>
      </c>
    </row>
    <row r="10" spans="1:29" ht="14">
      <c r="A10" s="209"/>
      <c r="B10" s="209"/>
      <c r="C10" s="209"/>
      <c r="D10" s="209"/>
      <c r="E10" s="209"/>
      <c r="F10" s="209"/>
      <c r="G10" s="209"/>
      <c r="H10" s="209"/>
      <c r="I10" s="209"/>
      <c r="J10" s="209" t="s">
        <v>292</v>
      </c>
      <c r="K10" s="209"/>
      <c r="L10" s="209"/>
      <c r="M10" s="209"/>
      <c r="N10" s="209"/>
      <c r="O10" s="209"/>
      <c r="P10" s="209"/>
      <c r="Q10" s="209"/>
      <c r="R10" s="209"/>
      <c r="S10" s="209"/>
      <c r="T10" s="209"/>
      <c r="U10" s="373">
        <v>30000001</v>
      </c>
      <c r="V10" s="369">
        <v>50000000</v>
      </c>
      <c r="W10" s="370">
        <v>5.2999999999999999E-2</v>
      </c>
      <c r="X10" s="370">
        <v>6.2E-2</v>
      </c>
      <c r="Y10" s="370">
        <v>7.0000000000000007E-2</v>
      </c>
      <c r="Z10" s="370">
        <v>0</v>
      </c>
      <c r="AA10" s="370">
        <v>5.3999999999999999E-2</v>
      </c>
      <c r="AB10" s="370">
        <v>6.3E-2</v>
      </c>
      <c r="AC10" s="375">
        <v>7.0999999999999994E-2</v>
      </c>
    </row>
    <row r="11" spans="1:29" ht="14">
      <c r="A11" s="209"/>
      <c r="B11" s="209"/>
      <c r="C11" s="209"/>
      <c r="D11" s="209"/>
      <c r="E11" s="209"/>
      <c r="F11" s="209"/>
      <c r="G11" s="209"/>
      <c r="H11" s="209"/>
      <c r="I11" s="209"/>
      <c r="J11" s="209" t="s">
        <v>282</v>
      </c>
      <c r="K11" s="209"/>
      <c r="L11" s="209"/>
      <c r="M11" s="209"/>
      <c r="N11" s="209"/>
      <c r="O11" s="209"/>
      <c r="P11" s="209"/>
      <c r="Q11" s="209"/>
      <c r="R11" s="209"/>
      <c r="S11" s="209"/>
      <c r="T11" s="209"/>
      <c r="U11" s="381">
        <v>50000001</v>
      </c>
      <c r="V11" s="382">
        <v>999999999</v>
      </c>
      <c r="W11" s="383">
        <v>4.7E-2</v>
      </c>
      <c r="X11" s="383">
        <v>5.5E-2</v>
      </c>
      <c r="Y11" s="383">
        <v>6.0999999999999999E-2</v>
      </c>
      <c r="Z11" s="383">
        <v>0</v>
      </c>
      <c r="AA11" s="383">
        <v>4.8000000000000001E-2</v>
      </c>
      <c r="AB11" s="383">
        <v>5.6000000000000001E-2</v>
      </c>
      <c r="AC11" s="384">
        <v>6.2E-2</v>
      </c>
    </row>
    <row r="12" spans="1:29" ht="14">
      <c r="A12" s="209"/>
      <c r="B12" s="209"/>
      <c r="C12" s="209"/>
      <c r="D12" s="209"/>
      <c r="E12" s="209"/>
      <c r="F12" s="209"/>
      <c r="G12" s="209"/>
      <c r="H12" s="209"/>
      <c r="I12" s="209"/>
      <c r="J12" s="209" t="s">
        <v>293</v>
      </c>
      <c r="K12" s="209"/>
      <c r="L12" s="209"/>
      <c r="M12" s="209"/>
      <c r="N12" s="209"/>
      <c r="O12" s="209"/>
      <c r="P12" s="209"/>
      <c r="Q12" s="209"/>
      <c r="R12" s="209"/>
      <c r="S12" s="209"/>
      <c r="T12" s="209"/>
      <c r="U12" s="209"/>
      <c r="V12" s="209"/>
      <c r="W12" s="209"/>
      <c r="X12" s="209"/>
      <c r="Y12" s="209"/>
      <c r="Z12" s="209"/>
      <c r="AA12" s="209"/>
      <c r="AB12" s="209"/>
    </row>
    <row r="13" spans="1:29" ht="14">
      <c r="A13" s="209"/>
      <c r="B13" s="209"/>
      <c r="C13" s="209"/>
      <c r="D13" s="209"/>
      <c r="E13" s="209"/>
      <c r="F13" s="209"/>
      <c r="G13" s="209"/>
      <c r="H13" s="209"/>
      <c r="I13" s="209"/>
      <c r="J13" s="209" t="s">
        <v>294</v>
      </c>
      <c r="K13" s="209"/>
      <c r="L13" s="209"/>
      <c r="M13" s="209"/>
      <c r="N13" s="209"/>
      <c r="O13" s="209"/>
      <c r="P13" s="209"/>
      <c r="Q13" s="209"/>
      <c r="R13" s="209"/>
      <c r="S13" s="209"/>
      <c r="T13" s="209"/>
      <c r="U13" s="209"/>
      <c r="V13" s="209"/>
      <c r="W13" s="209"/>
      <c r="X13" s="209"/>
      <c r="Y13" s="209"/>
      <c r="Z13" s="209"/>
      <c r="AA13" s="209"/>
      <c r="AB13" s="209"/>
    </row>
    <row r="14" spans="1:29" ht="14">
      <c r="A14" s="209"/>
      <c r="B14" s="209"/>
      <c r="C14" s="209"/>
      <c r="D14" s="209"/>
      <c r="E14" s="209"/>
      <c r="F14" s="209"/>
      <c r="G14" s="209"/>
      <c r="H14" s="209"/>
      <c r="I14" s="209"/>
      <c r="J14" s="209" t="s">
        <v>295</v>
      </c>
      <c r="K14" s="209"/>
      <c r="L14" s="209"/>
      <c r="M14" s="209"/>
      <c r="N14" s="209"/>
      <c r="O14" s="209"/>
      <c r="P14" s="209"/>
      <c r="Q14" s="209"/>
      <c r="R14" s="209"/>
      <c r="S14" s="209"/>
      <c r="T14" s="209"/>
      <c r="U14" s="209"/>
      <c r="V14" s="209"/>
      <c r="W14" s="209"/>
      <c r="X14" s="209"/>
      <c r="Y14" s="209"/>
      <c r="Z14" s="209"/>
      <c r="AA14" s="209"/>
      <c r="AB14" s="209"/>
    </row>
    <row r="15" spans="1:29" ht="14">
      <c r="A15" s="209"/>
      <c r="B15" s="209"/>
      <c r="C15" s="209"/>
      <c r="D15" s="209"/>
      <c r="E15" s="209"/>
      <c r="F15" s="209"/>
      <c r="G15" s="209"/>
      <c r="H15" s="209"/>
      <c r="I15" s="209"/>
      <c r="J15" s="209" t="s">
        <v>296</v>
      </c>
      <c r="K15" s="209"/>
      <c r="L15" s="209"/>
      <c r="M15" s="209"/>
      <c r="N15" s="209"/>
      <c r="O15" s="209"/>
      <c r="P15" s="209"/>
      <c r="Q15" s="209"/>
      <c r="R15" s="209"/>
      <c r="S15" s="209"/>
      <c r="T15" s="209"/>
      <c r="U15" s="209"/>
      <c r="V15" s="209"/>
      <c r="W15" s="209"/>
      <c r="X15" s="209"/>
      <c r="Y15" s="209"/>
      <c r="Z15" s="209"/>
      <c r="AA15" s="209"/>
      <c r="AB15" s="209"/>
    </row>
    <row r="16" spans="1:29" ht="14">
      <c r="A16" s="209"/>
      <c r="B16" s="209"/>
      <c r="C16" s="209"/>
      <c r="D16" s="209"/>
      <c r="E16" s="209"/>
      <c r="F16" s="209"/>
      <c r="G16" s="209"/>
      <c r="H16" s="209"/>
      <c r="I16" s="209"/>
      <c r="J16" s="209" t="s">
        <v>297</v>
      </c>
      <c r="K16" s="209"/>
      <c r="L16" s="209"/>
      <c r="M16" s="209"/>
      <c r="N16" s="209"/>
      <c r="O16" s="209"/>
      <c r="P16" s="209"/>
      <c r="Q16" s="209"/>
      <c r="R16" s="209"/>
      <c r="S16" s="209"/>
      <c r="T16" s="209"/>
      <c r="U16" s="209"/>
      <c r="V16" s="209"/>
      <c r="W16" s="209"/>
      <c r="X16" s="209"/>
      <c r="Y16" s="209"/>
      <c r="Z16" s="209"/>
      <c r="AA16" s="209"/>
      <c r="AB16" s="209"/>
    </row>
    <row r="17" spans="1:28" ht="14">
      <c r="A17" s="209"/>
      <c r="B17" s="209"/>
      <c r="C17" s="209"/>
      <c r="D17" s="209"/>
      <c r="E17" s="209"/>
      <c r="F17" s="209"/>
      <c r="G17" s="209"/>
      <c r="H17" s="209"/>
      <c r="I17" s="209"/>
      <c r="J17" s="209" t="s">
        <v>298</v>
      </c>
      <c r="K17" s="209"/>
      <c r="L17" s="209"/>
      <c r="M17" s="209"/>
      <c r="N17" s="209"/>
      <c r="O17" s="209"/>
      <c r="P17" s="209"/>
      <c r="Q17" s="209"/>
      <c r="R17" s="209"/>
      <c r="S17" s="209"/>
      <c r="T17" s="209"/>
      <c r="U17" s="209"/>
      <c r="V17" s="209"/>
      <c r="W17" s="209"/>
      <c r="X17" s="209"/>
      <c r="Y17" s="209"/>
      <c r="Z17" s="209"/>
      <c r="AA17" s="209"/>
      <c r="AB17" s="209"/>
    </row>
    <row r="18" spans="1:28" ht="14">
      <c r="A18" s="209"/>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row>
    <row r="19" spans="1:28" ht="14">
      <c r="A19" s="209"/>
      <c r="B19" s="209"/>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row>
    <row r="20" spans="1:28" ht="14">
      <c r="A20" s="209"/>
      <c r="B20" s="209"/>
      <c r="C20" s="209"/>
      <c r="D20" s="209"/>
      <c r="E20" s="209"/>
      <c r="F20" s="209"/>
      <c r="G20" s="209"/>
      <c r="H20" s="209"/>
      <c r="I20" s="209"/>
      <c r="J20" s="209" t="s">
        <v>73</v>
      </c>
      <c r="K20" s="209"/>
      <c r="L20" s="209"/>
      <c r="M20" s="209"/>
      <c r="N20" s="209"/>
      <c r="O20" s="209"/>
      <c r="P20" s="209"/>
      <c r="Q20" s="209"/>
      <c r="R20" s="209"/>
      <c r="S20" s="209"/>
      <c r="T20" s="209"/>
      <c r="U20" s="209"/>
      <c r="V20" s="209"/>
      <c r="W20" s="209"/>
      <c r="X20" s="209"/>
      <c r="Y20" s="209"/>
      <c r="Z20" s="209"/>
      <c r="AA20" s="209"/>
      <c r="AB20" s="209"/>
    </row>
  </sheetData>
  <sheetProtection algorithmName="SHA-512" hashValue="TLcGoCXu08WCQ2iekPjvPhXi0OBPjGhSaZIL1DVQrukdmnyzb7VGNuMHcn2rgonp9vO5e6Fw4e72XoYnJsPtVA==" saltValue="+o1+PDebUNrHTOjn/4RHgA==" spinCount="100000" sheet="1" scenarios="1" selectLockedCells="1" selectUnlockedCells="1"/>
  <mergeCells count="5">
    <mergeCell ref="L1:M1"/>
    <mergeCell ref="U2:V2"/>
    <mergeCell ref="W2:Y2"/>
    <mergeCell ref="AA2:AC2"/>
    <mergeCell ref="U1:AC1"/>
  </mergeCells>
  <printOptions horizontalCentered="1"/>
  <pageMargins left="0.25" right="0.25" top="0.75" bottom="0.75" header="0.3" footer="0.3"/>
  <pageSetup orientation="portrait" horizontalDpi="0" verticalDpi="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1F9088B3B4974AAB53FC782F7B5ABC" ma:contentTypeVersion="4" ma:contentTypeDescription="Create a new document." ma:contentTypeScope="" ma:versionID="6d4b9f55d997638c359dba5538025996">
  <xsd:schema xmlns:xsd="http://www.w3.org/2001/XMLSchema" xmlns:xs="http://www.w3.org/2001/XMLSchema" xmlns:p="http://schemas.microsoft.com/office/2006/metadata/properties" xmlns:ns2="10d83417-4dce-4fd0-828a-70b2fdac6f46" xmlns:ns3="4fb80c68-adcd-4d0c-872a-22e6b13732f7" xmlns:ns4="e093e355-c945-4473-9c5d-2835a4da0d94" xmlns:ns5="0662cd8e-359e-4689-9ba4-e6a1b7b5d468" targetNamespace="http://schemas.microsoft.com/office/2006/metadata/properties" ma:root="true" ma:fieldsID="b30341a31669b3b8ae7ac90a544127cd" ns2:_="" ns3:_="" ns4:_="" ns5:_="">
    <xsd:import namespace="10d83417-4dce-4fd0-828a-70b2fdac6f46"/>
    <xsd:import namespace="4fb80c68-adcd-4d0c-872a-22e6b13732f7"/>
    <xsd:import namespace="e093e355-c945-4473-9c5d-2835a4da0d94"/>
    <xsd:import namespace="0662cd8e-359e-4689-9ba4-e6a1b7b5d46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d83417-4dce-4fd0-828a-70b2fdac6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fb80c68-adcd-4d0c-872a-22e6b13732f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93e355-c945-4473-9c5d-2835a4da0d94" elementFormDefault="qualified">
    <xsd:import namespace="http://schemas.microsoft.com/office/2006/documentManagement/types"/>
    <xsd:import namespace="http://schemas.microsoft.com/office/infopath/2007/PartnerControls"/>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c1b505c-90bb-442f-9a03-28747e7cb26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662cd8e-359e-4689-9ba4-e6a1b7b5d468"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c3cef135-33c0-4ff1-918c-0784d13df0af}" ma:internalName="TaxCatchAll" ma:showField="CatchAllData" ma:web="0662cd8e-359e-4689-9ba4-e6a1b7b5d4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65472D-80E6-4435-A5E8-7D21CC4E4FD5}">
  <ds:schemaRefs>
    <ds:schemaRef ds:uri="http://schemas.microsoft.com/sharepoint/v3/contenttype/forms"/>
  </ds:schemaRefs>
</ds:datastoreItem>
</file>

<file path=customXml/itemProps2.xml><?xml version="1.0" encoding="utf-8"?>
<ds:datastoreItem xmlns:ds="http://schemas.openxmlformats.org/officeDocument/2006/customXml" ds:itemID="{5D1DEF07-8ACF-4D72-803C-EFF0FBBE4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d83417-4dce-4fd0-828a-70b2fdac6f46"/>
    <ds:schemaRef ds:uri="4fb80c68-adcd-4d0c-872a-22e6b13732f7"/>
    <ds:schemaRef ds:uri="e093e355-c945-4473-9c5d-2835a4da0d94"/>
    <ds:schemaRef ds:uri="0662cd8e-359e-4689-9ba4-e6a1b7b5d4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PBW_SUMMARY</vt:lpstr>
      <vt:lpstr>PBW</vt:lpstr>
      <vt:lpstr>PBW_ALTERNATE_SUMMARY</vt:lpstr>
      <vt:lpstr>PBW_ALTERNATE</vt:lpstr>
      <vt:lpstr>ENR</vt:lpstr>
      <vt:lpstr>READ ME</vt:lpstr>
      <vt:lpstr>COST GUIDELINES</vt:lpstr>
      <vt:lpstr>SAMPLE</vt:lpstr>
      <vt:lpstr>LOOKUPS</vt:lpstr>
      <vt:lpstr>DURATION</vt:lpstr>
      <vt:lpstr>ENR</vt:lpstr>
      <vt:lpstr>PBW_ALTERNATE!ENR_ALTERNATE</vt:lpstr>
      <vt:lpstr>'COST GUIDELINES'!ENR_COST_GUIDE</vt:lpstr>
      <vt:lpstr>'READ ME'!ENR_README</vt:lpstr>
      <vt:lpstr>SAMPLE!ENR_SAMPLE</vt:lpstr>
      <vt:lpstr>'COST GUIDELINES'!Print_Area</vt:lpstr>
      <vt:lpstr>PBW!Print_Area</vt:lpstr>
      <vt:lpstr>PBW_ALTERNATE!Print_Area</vt:lpstr>
      <vt:lpstr>PBW_ALTERNATE_SUMMARY!Print_Area</vt:lpstr>
      <vt:lpstr>PBW_SUMMARY!Print_Area</vt:lpstr>
      <vt:lpstr>'READ ME'!Print_Area</vt:lpstr>
      <vt:lpstr>SAMPLE!Print_Area</vt:lpstr>
      <vt:lpstr>PROJECTTYPE</vt:lpstr>
      <vt:lpstr>TOTCONST</vt:lpstr>
      <vt:lpstr>PBW_ALTERNATE!TOTCONST_ALTERNATE</vt:lpstr>
      <vt:lpstr>'COST GUIDELINES'!TOTCONST_COST_GUIDE</vt:lpstr>
      <vt:lpstr>'READ ME'!TOTCONST_README</vt:lpstr>
      <vt:lpstr>SAMPLE!TOTCONST_SAMPLE</vt:lpstr>
      <vt:lpstr>VERSION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worksheet</dc:title>
  <dc:creator>CAPITAL Planning &amp; BUDGET</dc:creator>
  <cp:lastModifiedBy>Bittner, Thomas</cp:lastModifiedBy>
  <cp:lastPrinted>2024-06-14T19:38:13Z</cp:lastPrinted>
  <dcterms:created xsi:type="dcterms:W3CDTF">1997-12-08T19:36:59Z</dcterms:created>
  <dcterms:modified xsi:type="dcterms:W3CDTF">2025-04-30T13:49:24Z</dcterms:modified>
</cp:coreProperties>
</file>