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3.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4.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showInkAnnotation="0" updateLinks="never" codeName="ThisWorkbook" autoCompressPictures="0"/>
  <mc:AlternateContent xmlns:mc="http://schemas.openxmlformats.org/markup-compatibility/2006">
    <mc:Choice Requires="x15">
      <x15ac:absPath xmlns:x15ac="http://schemas.microsoft.com/office/spreadsheetml/2010/11/ac" url="/Users/thomas bittner/Library/CloudStorage/Dropbox/Documents/UWSA/Planning/Workshops/Forms/"/>
    </mc:Choice>
  </mc:AlternateContent>
  <xr:revisionPtr revIDLastSave="0" documentId="13_ncr:1_{54D88EFC-DDD2-264D-A029-541647034E3A}" xr6:coauthVersionLast="47" xr6:coauthVersionMax="47" xr10:uidLastSave="{00000000-0000-0000-0000-000000000000}"/>
  <bookViews>
    <workbookView xWindow="2380" yWindow="1840" windowWidth="38400" windowHeight="21600" tabRatio="851" firstSheet="2" activeTab="3" xr2:uid="{00000000-000D-0000-FFFF-FFFF00000000}"/>
  </bookViews>
  <sheets>
    <sheet name="Quick Inflation Factor Update" sheetId="22" r:id="rId1"/>
    <sheet name="Quick Inflation Date Update" sheetId="16" r:id="rId2"/>
    <sheet name="PBW_Summary" sheetId="4" r:id="rId3"/>
    <sheet name="PBW" sheetId="2" r:id="rId4"/>
    <sheet name="PBW_Summary_NoInflation" sheetId="32" r:id="rId5"/>
    <sheet name="PBW_NoInflation" sheetId="25" r:id="rId6"/>
    <sheet name="ENR" sheetId="33" r:id="rId7"/>
    <sheet name="DFD Inflation Estimation Tool" sheetId="29" r:id="rId8"/>
    <sheet name="DFD Inflation Summary" sheetId="28" r:id="rId9"/>
    <sheet name="UW Escalation Calculation" sheetId="27" r:id="rId10"/>
    <sheet name="READ ME" sheetId="21" r:id="rId11"/>
    <sheet name="COST GUIDELINES" sheetId="20" r:id="rId12"/>
    <sheet name="SAMPLE" sheetId="34" r:id="rId13"/>
    <sheet name="LOOKUPS" sheetId="24" r:id="rId14"/>
  </sheets>
  <definedNames>
    <definedName name="DURATION">LOOKUPS!$F$2:$H$7</definedName>
    <definedName name="ENR" localSheetId="11">PBW!$H$13</definedName>
    <definedName name="ENR" localSheetId="5">PBW_NoInflation!$H$12</definedName>
    <definedName name="ENR" localSheetId="10">PBW!$H$13</definedName>
    <definedName name="ENR" localSheetId="12">SAMPLE!$H$12</definedName>
    <definedName name="ENR">PBW!$H$12</definedName>
    <definedName name="ENRbyTrade" localSheetId="11">#REF!</definedName>
    <definedName name="ENRbyTrade" localSheetId="10">#REF!</definedName>
    <definedName name="ENRbyTrade">#REF!</definedName>
    <definedName name="INFLATION">#REF!</definedName>
    <definedName name="_xlnm.Print_Area" localSheetId="11">'COST GUIDELINES'!$A$1:$F$53</definedName>
    <definedName name="_xlnm.Print_Area" localSheetId="3">PBW!$A$1:$H$186</definedName>
    <definedName name="_xlnm.Print_Area" localSheetId="5">PBW_NoInflation!$A$1:$H$186</definedName>
    <definedName name="_xlnm.Print_Area" localSheetId="2">PBW_Summary!$A$1:$H$42</definedName>
    <definedName name="_xlnm.Print_Area" localSheetId="4">PBW_Summary_NoInflation!$A$1:$H$42</definedName>
    <definedName name="_xlnm.Print_Area" localSheetId="1">'Quick Inflation Date Update'!$A$1:$D$51</definedName>
    <definedName name="_xlnm.Print_Area" localSheetId="0">'Quick Inflation Factor Update'!$A$1:$D$51</definedName>
    <definedName name="_xlnm.Print_Area" localSheetId="10">'READ ME'!$A$1:$B$42</definedName>
    <definedName name="_xlnm.Print_Area" localSheetId="12">SAMPLE!$A$1:$H$186</definedName>
    <definedName name="PROJECTTYPE">LOOKUPS!$C$2:$D$8</definedName>
    <definedName name="TOTCONST" localSheetId="11">PBW!$H$124</definedName>
    <definedName name="TOTCONST" localSheetId="5">PBW_NoInflation!$H$124</definedName>
    <definedName name="TOTCONST" localSheetId="10">PBW!$H$124</definedName>
    <definedName name="TOTCONST" localSheetId="12">SAMPLE!$H$124</definedName>
    <definedName name="TOTCONST">PBW!$H$124</definedName>
    <definedName name="VERSION">LOOKUPS!$A$1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5" i="24" l="1"/>
  <c r="A4" i="24"/>
  <c r="A3" i="24"/>
  <c r="H9" i="2"/>
  <c r="H101" i="2"/>
  <c r="H96" i="2"/>
  <c r="H91" i="2"/>
  <c r="H86" i="2"/>
  <c r="H82" i="2"/>
  <c r="H76" i="2"/>
  <c r="H72" i="2"/>
  <c r="B15" i="16"/>
  <c r="B15" i="22" l="1"/>
  <c r="C131" i="25"/>
  <c r="A122" i="2"/>
  <c r="A121" i="2"/>
  <c r="H112" i="2"/>
  <c r="H111" i="2"/>
  <c r="H110" i="2"/>
  <c r="H109" i="2"/>
  <c r="H108" i="2"/>
  <c r="H107" i="2"/>
  <c r="H103" i="2"/>
  <c r="H102" i="2"/>
  <c r="H100" i="2"/>
  <c r="H99" i="2"/>
  <c r="H98" i="2"/>
  <c r="H97" i="2"/>
  <c r="H95" i="2"/>
  <c r="H94" i="2"/>
  <c r="H93" i="2"/>
  <c r="H92" i="2"/>
  <c r="H90" i="2"/>
  <c r="H89" i="2"/>
  <c r="H88" i="2"/>
  <c r="H87" i="2"/>
  <c r="H85" i="2"/>
  <c r="H84" i="2"/>
  <c r="H83" i="2"/>
  <c r="H81" i="2"/>
  <c r="H80" i="2"/>
  <c r="H79" i="2"/>
  <c r="H78" i="2"/>
  <c r="H77" i="2"/>
  <c r="H75" i="2"/>
  <c r="H74" i="2"/>
  <c r="H73" i="2"/>
  <c r="H71" i="2"/>
  <c r="H70" i="2"/>
  <c r="H119" i="2"/>
  <c r="A63" i="2"/>
  <c r="A62" i="2"/>
  <c r="G9" i="34"/>
  <c r="G9" i="2"/>
  <c r="H113" i="2" l="1"/>
  <c r="H104" i="2"/>
  <c r="A5" i="16"/>
  <c r="C4" i="29"/>
  <c r="H3" i="2"/>
  <c r="H1" i="34"/>
  <c r="E165" i="34"/>
  <c r="G153" i="34"/>
  <c r="D152" i="34" s="1"/>
  <c r="E152" i="34" s="1"/>
  <c r="C139" i="34"/>
  <c r="A122" i="34"/>
  <c r="B121" i="34"/>
  <c r="A121" i="34"/>
  <c r="H119" i="34"/>
  <c r="E133" i="34" s="1"/>
  <c r="H112" i="34"/>
  <c r="H111" i="34"/>
  <c r="H110" i="34"/>
  <c r="H109" i="34"/>
  <c r="H108" i="34"/>
  <c r="H107" i="34"/>
  <c r="H103" i="34"/>
  <c r="H102" i="34"/>
  <c r="H101" i="34"/>
  <c r="H100" i="34"/>
  <c r="H99" i="34"/>
  <c r="H98" i="34"/>
  <c r="H97" i="34"/>
  <c r="H96" i="34"/>
  <c r="H95" i="34"/>
  <c r="H94" i="34"/>
  <c r="H93" i="34"/>
  <c r="H92" i="34"/>
  <c r="H91" i="34"/>
  <c r="H90" i="34"/>
  <c r="H89" i="34"/>
  <c r="H88" i="34"/>
  <c r="H87" i="34"/>
  <c r="H86" i="34"/>
  <c r="H85" i="34"/>
  <c r="H84" i="34"/>
  <c r="H83" i="34"/>
  <c r="H82" i="34"/>
  <c r="H81" i="34"/>
  <c r="H80" i="34"/>
  <c r="H79" i="34"/>
  <c r="H78" i="34"/>
  <c r="H77" i="34"/>
  <c r="H76" i="34"/>
  <c r="H75" i="34"/>
  <c r="H74" i="34"/>
  <c r="H73" i="34"/>
  <c r="H72" i="34"/>
  <c r="H71" i="34"/>
  <c r="H70" i="34"/>
  <c r="A63" i="34"/>
  <c r="B62" i="34"/>
  <c r="A62" i="34"/>
  <c r="G47" i="34"/>
  <c r="G41" i="34"/>
  <c r="B37" i="34"/>
  <c r="D36" i="34"/>
  <c r="G36" i="34" s="1"/>
  <c r="D35" i="34"/>
  <c r="G35" i="34" s="1"/>
  <c r="D34" i="34"/>
  <c r="G34" i="34" s="1"/>
  <c r="D33" i="34"/>
  <c r="G33" i="34" s="1"/>
  <c r="D32" i="34"/>
  <c r="G32" i="34" s="1"/>
  <c r="D31" i="34"/>
  <c r="G31" i="34" s="1"/>
  <c r="D30" i="34"/>
  <c r="G30" i="34" s="1"/>
  <c r="B25" i="34"/>
  <c r="B9" i="34" s="1"/>
  <c r="D24" i="34"/>
  <c r="G24" i="34" s="1"/>
  <c r="D23" i="34"/>
  <c r="G23" i="34" s="1"/>
  <c r="D22" i="34"/>
  <c r="G22" i="34" s="1"/>
  <c r="D21" i="34"/>
  <c r="G21" i="34" s="1"/>
  <c r="D20" i="34"/>
  <c r="G20" i="34" s="1"/>
  <c r="D19" i="34"/>
  <c r="G19" i="34" s="1"/>
  <c r="D18" i="34"/>
  <c r="G18" i="34" s="1"/>
  <c r="E10" i="34"/>
  <c r="H104" i="34" l="1"/>
  <c r="E127" i="34" s="1"/>
  <c r="G37" i="34"/>
  <c r="H37" i="34" s="1"/>
  <c r="H113" i="34"/>
  <c r="E128" i="34" s="1"/>
  <c r="D25" i="34"/>
  <c r="B10" i="34" s="1"/>
  <c r="C10" i="34" s="1"/>
  <c r="G25" i="34"/>
  <c r="H26" i="34" s="1"/>
  <c r="AI14" i="33"/>
  <c r="AI11" i="33" s="1"/>
  <c r="D37" i="34"/>
  <c r="B13" i="34" s="1"/>
  <c r="C14" i="34" s="1"/>
  <c r="AC14" i="33"/>
  <c r="AC12" i="33" s="1"/>
  <c r="AB13" i="33"/>
  <c r="AB12" i="33"/>
  <c r="AB11" i="33"/>
  <c r="D5" i="16"/>
  <c r="D4" i="16"/>
  <c r="AI12" i="33" l="1"/>
  <c r="AC11" i="33"/>
  <c r="AC13" i="33" s="1"/>
  <c r="AB15" i="33"/>
  <c r="AI13" i="33"/>
  <c r="D5" i="22"/>
  <c r="V12" i="33"/>
  <c r="V11" i="33"/>
  <c r="V13" i="33" s="1"/>
  <c r="P12" i="33"/>
  <c r="P11" i="33"/>
  <c r="P13" i="33" s="1"/>
  <c r="D14" i="33"/>
  <c r="D11" i="33" s="1"/>
  <c r="C14" i="33"/>
  <c r="C11" i="33" s="1"/>
  <c r="Z99" i="33"/>
  <c r="Y99" i="33"/>
  <c r="X99" i="33"/>
  <c r="W99" i="33"/>
  <c r="V99" i="33"/>
  <c r="U99" i="33"/>
  <c r="T99" i="33"/>
  <c r="S99" i="33"/>
  <c r="R99" i="33"/>
  <c r="Q99" i="33"/>
  <c r="P99" i="33"/>
  <c r="O99" i="33"/>
  <c r="Z98" i="33"/>
  <c r="Y98" i="33"/>
  <c r="X98" i="33"/>
  <c r="W98" i="33"/>
  <c r="V98" i="33"/>
  <c r="U98" i="33"/>
  <c r="T98" i="33"/>
  <c r="S98" i="33"/>
  <c r="R98" i="33"/>
  <c r="Q98" i="33"/>
  <c r="P98" i="33"/>
  <c r="O98" i="33"/>
  <c r="Z97" i="33"/>
  <c r="Y97" i="33"/>
  <c r="X97" i="33"/>
  <c r="W97" i="33"/>
  <c r="V97" i="33"/>
  <c r="U97" i="33"/>
  <c r="T97" i="33"/>
  <c r="S97" i="33"/>
  <c r="R97" i="33"/>
  <c r="Q97" i="33"/>
  <c r="P97" i="33"/>
  <c r="O97" i="33"/>
  <c r="Z96" i="33"/>
  <c r="Y96" i="33"/>
  <c r="X96" i="33"/>
  <c r="W96" i="33"/>
  <c r="V96" i="33"/>
  <c r="U96" i="33"/>
  <c r="T96" i="33"/>
  <c r="S96" i="33"/>
  <c r="R96" i="33"/>
  <c r="Q96" i="33"/>
  <c r="P96" i="33"/>
  <c r="O96" i="33"/>
  <c r="Z95" i="33"/>
  <c r="Y95" i="33"/>
  <c r="X95" i="33"/>
  <c r="W95" i="33"/>
  <c r="V95" i="33"/>
  <c r="U95" i="33"/>
  <c r="T95" i="33"/>
  <c r="S95" i="33"/>
  <c r="R95" i="33"/>
  <c r="Q95" i="33"/>
  <c r="P95" i="33"/>
  <c r="O95" i="33"/>
  <c r="Z94" i="33"/>
  <c r="Y94" i="33"/>
  <c r="X94" i="33"/>
  <c r="W94" i="33"/>
  <c r="V94" i="33"/>
  <c r="U94" i="33"/>
  <c r="T94" i="33"/>
  <c r="S94" i="33"/>
  <c r="R94" i="33"/>
  <c r="Q94" i="33"/>
  <c r="P94" i="33"/>
  <c r="O94" i="33"/>
  <c r="Z93" i="33"/>
  <c r="Y93" i="33"/>
  <c r="X93" i="33"/>
  <c r="W93" i="33"/>
  <c r="V93" i="33"/>
  <c r="U93" i="33"/>
  <c r="T93" i="33"/>
  <c r="S93" i="33"/>
  <c r="R93" i="33"/>
  <c r="Q93" i="33"/>
  <c r="P93" i="33"/>
  <c r="O93" i="33"/>
  <c r="Z92" i="33"/>
  <c r="Y92" i="33"/>
  <c r="X92" i="33"/>
  <c r="W92" i="33"/>
  <c r="V92" i="33"/>
  <c r="U92" i="33"/>
  <c r="T92" i="33"/>
  <c r="S92" i="33"/>
  <c r="R92" i="33"/>
  <c r="Q92" i="33"/>
  <c r="P92" i="33"/>
  <c r="O92" i="33"/>
  <c r="Z91" i="33"/>
  <c r="Y91" i="33"/>
  <c r="X91" i="33"/>
  <c r="W91" i="33"/>
  <c r="V91" i="33"/>
  <c r="U91" i="33"/>
  <c r="T91" i="33"/>
  <c r="S91" i="33"/>
  <c r="R91" i="33"/>
  <c r="Q91" i="33"/>
  <c r="P91" i="33"/>
  <c r="O91" i="33"/>
  <c r="Z90" i="33"/>
  <c r="Y90" i="33"/>
  <c r="X90" i="33"/>
  <c r="W90" i="33"/>
  <c r="V90" i="33"/>
  <c r="U90" i="33"/>
  <c r="T90" i="33"/>
  <c r="S90" i="33"/>
  <c r="R90" i="33"/>
  <c r="Q90" i="33"/>
  <c r="P90" i="33"/>
  <c r="O90" i="33"/>
  <c r="Z89" i="33"/>
  <c r="Y89" i="33"/>
  <c r="X89" i="33"/>
  <c r="W89" i="33"/>
  <c r="V89" i="33"/>
  <c r="U89" i="33"/>
  <c r="T89" i="33"/>
  <c r="S89" i="33"/>
  <c r="R89" i="33"/>
  <c r="Q89" i="33"/>
  <c r="P89" i="33"/>
  <c r="O89" i="33"/>
  <c r="Z88" i="33"/>
  <c r="Y88" i="33"/>
  <c r="X88" i="33"/>
  <c r="W88" i="33"/>
  <c r="V88" i="33"/>
  <c r="U88" i="33"/>
  <c r="T88" i="33"/>
  <c r="S88" i="33"/>
  <c r="R88" i="33"/>
  <c r="Q88" i="33"/>
  <c r="P88" i="33"/>
  <c r="O88" i="33"/>
  <c r="Z87" i="33"/>
  <c r="Y87" i="33"/>
  <c r="X87" i="33"/>
  <c r="W87" i="33"/>
  <c r="V87" i="33"/>
  <c r="U87" i="33"/>
  <c r="T87" i="33"/>
  <c r="S87" i="33"/>
  <c r="R87" i="33"/>
  <c r="Q87" i="33"/>
  <c r="P87" i="33"/>
  <c r="O87" i="33"/>
  <c r="Z86" i="33"/>
  <c r="Y86" i="33"/>
  <c r="X86" i="33"/>
  <c r="W86" i="33"/>
  <c r="V86" i="33"/>
  <c r="U86" i="33"/>
  <c r="T86" i="33"/>
  <c r="S86" i="33"/>
  <c r="R86" i="33"/>
  <c r="Q86" i="33"/>
  <c r="P86" i="33"/>
  <c r="O86" i="33"/>
  <c r="Z85" i="33"/>
  <c r="Y85" i="33"/>
  <c r="X85" i="33"/>
  <c r="W85" i="33"/>
  <c r="V85" i="33"/>
  <c r="U85" i="33"/>
  <c r="T85" i="33"/>
  <c r="S85" i="33"/>
  <c r="R85" i="33"/>
  <c r="Q85" i="33"/>
  <c r="P85" i="33"/>
  <c r="O85" i="33"/>
  <c r="Z84" i="33"/>
  <c r="Y84" i="33"/>
  <c r="X84" i="33"/>
  <c r="W84" i="33"/>
  <c r="V84" i="33"/>
  <c r="U84" i="33"/>
  <c r="T84" i="33"/>
  <c r="S84" i="33"/>
  <c r="R84" i="33"/>
  <c r="Q84" i="33"/>
  <c r="P84" i="33"/>
  <c r="O84" i="33"/>
  <c r="Z83" i="33"/>
  <c r="Y83" i="33"/>
  <c r="X83" i="33"/>
  <c r="W83" i="33"/>
  <c r="V83" i="33"/>
  <c r="U83" i="33"/>
  <c r="T83" i="33"/>
  <c r="S83" i="33"/>
  <c r="R83" i="33"/>
  <c r="Q83" i="33"/>
  <c r="P83" i="33"/>
  <c r="O83" i="33"/>
  <c r="Z82" i="33"/>
  <c r="Y82" i="33"/>
  <c r="X82" i="33"/>
  <c r="W82" i="33"/>
  <c r="V82" i="33"/>
  <c r="U82" i="33"/>
  <c r="T82" i="33"/>
  <c r="S82" i="33"/>
  <c r="R82" i="33"/>
  <c r="Q82" i="33"/>
  <c r="P82" i="33"/>
  <c r="O82" i="33"/>
  <c r="Z81" i="33"/>
  <c r="Y81" i="33"/>
  <c r="X81" i="33"/>
  <c r="W81" i="33"/>
  <c r="V81" i="33"/>
  <c r="U81" i="33"/>
  <c r="T81" i="33"/>
  <c r="S81" i="33"/>
  <c r="R81" i="33"/>
  <c r="Q81" i="33"/>
  <c r="P81" i="33"/>
  <c r="O81" i="33"/>
  <c r="Z80" i="33"/>
  <c r="Y80" i="33"/>
  <c r="X80" i="33"/>
  <c r="W80" i="33"/>
  <c r="V80" i="33"/>
  <c r="U80" i="33"/>
  <c r="T80" i="33"/>
  <c r="S80" i="33"/>
  <c r="R80" i="33"/>
  <c r="Q80" i="33"/>
  <c r="P80" i="33"/>
  <c r="O80" i="33"/>
  <c r="Z79" i="33"/>
  <c r="Y79" i="33"/>
  <c r="X79" i="33"/>
  <c r="W79" i="33"/>
  <c r="V79" i="33"/>
  <c r="U79" i="33"/>
  <c r="T79" i="33"/>
  <c r="S79" i="33"/>
  <c r="R79" i="33"/>
  <c r="Q79" i="33"/>
  <c r="P79" i="33"/>
  <c r="O79" i="33"/>
  <c r="Z78" i="33"/>
  <c r="Y78" i="33"/>
  <c r="X78" i="33"/>
  <c r="W78" i="33"/>
  <c r="V78" i="33"/>
  <c r="U78" i="33"/>
  <c r="T78" i="33"/>
  <c r="S78" i="33"/>
  <c r="R78" i="33"/>
  <c r="Q78" i="33"/>
  <c r="P78" i="33"/>
  <c r="O78" i="33"/>
  <c r="Z77" i="33"/>
  <c r="Y77" i="33"/>
  <c r="X77" i="33"/>
  <c r="W77" i="33"/>
  <c r="V77" i="33"/>
  <c r="U77" i="33"/>
  <c r="T77" i="33"/>
  <c r="S77" i="33"/>
  <c r="R77" i="33"/>
  <c r="Q77" i="33"/>
  <c r="P77" i="33"/>
  <c r="O77" i="33"/>
  <c r="Z76" i="33"/>
  <c r="Y76" i="33"/>
  <c r="X76" i="33"/>
  <c r="W76" i="33"/>
  <c r="V76" i="33"/>
  <c r="U76" i="33"/>
  <c r="T76" i="33"/>
  <c r="S76" i="33"/>
  <c r="R76" i="33"/>
  <c r="Q76" i="33"/>
  <c r="P76" i="33"/>
  <c r="O76" i="33"/>
  <c r="Z75" i="33"/>
  <c r="Y75" i="33"/>
  <c r="X75" i="33"/>
  <c r="W75" i="33"/>
  <c r="V75" i="33"/>
  <c r="U75" i="33"/>
  <c r="T75" i="33"/>
  <c r="S75" i="33"/>
  <c r="R75" i="33"/>
  <c r="Q75" i="33"/>
  <c r="P75" i="33"/>
  <c r="O75" i="33"/>
  <c r="Z74" i="33"/>
  <c r="Y74" i="33"/>
  <c r="X74" i="33"/>
  <c r="W74" i="33"/>
  <c r="V74" i="33"/>
  <c r="U74" i="33"/>
  <c r="T74" i="33"/>
  <c r="S74" i="33"/>
  <c r="R74" i="33"/>
  <c r="Q74" i="33"/>
  <c r="P74" i="33"/>
  <c r="O74" i="33"/>
  <c r="Z73" i="33"/>
  <c r="Y73" i="33"/>
  <c r="X73" i="33"/>
  <c r="W73" i="33"/>
  <c r="V73" i="33"/>
  <c r="U73" i="33"/>
  <c r="T73" i="33"/>
  <c r="S73" i="33"/>
  <c r="R73" i="33"/>
  <c r="Q73" i="33"/>
  <c r="P73" i="33"/>
  <c r="O73" i="33"/>
  <c r="Z72" i="33"/>
  <c r="Y72" i="33"/>
  <c r="X72" i="33"/>
  <c r="W72" i="33"/>
  <c r="V72" i="33"/>
  <c r="U72" i="33"/>
  <c r="T72" i="33"/>
  <c r="S72" i="33"/>
  <c r="R72" i="33"/>
  <c r="Q72" i="33"/>
  <c r="P72" i="33"/>
  <c r="O72" i="33"/>
  <c r="Z71" i="33"/>
  <c r="Y71" i="33"/>
  <c r="X71" i="33"/>
  <c r="W71" i="33"/>
  <c r="V71" i="33"/>
  <c r="U71" i="33"/>
  <c r="T71" i="33"/>
  <c r="S71" i="33"/>
  <c r="R71" i="33"/>
  <c r="Q71" i="33"/>
  <c r="P71" i="33"/>
  <c r="O71" i="33"/>
  <c r="Z70" i="33"/>
  <c r="Y70" i="33"/>
  <c r="X70" i="33"/>
  <c r="W70" i="33"/>
  <c r="V70" i="33"/>
  <c r="U70" i="33"/>
  <c r="T70" i="33"/>
  <c r="S70" i="33"/>
  <c r="R70" i="33"/>
  <c r="Q70" i="33"/>
  <c r="P70" i="33"/>
  <c r="O70" i="33"/>
  <c r="Z69" i="33"/>
  <c r="Y69" i="33"/>
  <c r="X69" i="33"/>
  <c r="W69" i="33"/>
  <c r="V69" i="33"/>
  <c r="U69" i="33"/>
  <c r="T69" i="33"/>
  <c r="S69" i="33"/>
  <c r="R69" i="33"/>
  <c r="Q69" i="33"/>
  <c r="P69" i="33"/>
  <c r="O69" i="33"/>
  <c r="Z68" i="33"/>
  <c r="Y68" i="33"/>
  <c r="X68" i="33"/>
  <c r="W68" i="33"/>
  <c r="V68" i="33"/>
  <c r="U68" i="33"/>
  <c r="T68" i="33"/>
  <c r="S68" i="33"/>
  <c r="R68" i="33"/>
  <c r="Q68" i="33"/>
  <c r="P68" i="33"/>
  <c r="O68" i="33"/>
  <c r="Z67" i="33"/>
  <c r="Y67" i="33"/>
  <c r="X67" i="33"/>
  <c r="W67" i="33"/>
  <c r="V67" i="33"/>
  <c r="U67" i="33"/>
  <c r="T67" i="33"/>
  <c r="S67" i="33"/>
  <c r="R67" i="33"/>
  <c r="Q67" i="33"/>
  <c r="P67" i="33"/>
  <c r="O67" i="33"/>
  <c r="Z66" i="33"/>
  <c r="Y66" i="33"/>
  <c r="X66" i="33"/>
  <c r="W66" i="33"/>
  <c r="V66" i="33"/>
  <c r="U66" i="33"/>
  <c r="T66" i="33"/>
  <c r="S66" i="33"/>
  <c r="R66" i="33"/>
  <c r="Q66" i="33"/>
  <c r="P66" i="33"/>
  <c r="O66" i="33"/>
  <c r="Z65" i="33"/>
  <c r="Y65" i="33"/>
  <c r="X65" i="33"/>
  <c r="W65" i="33"/>
  <c r="V65" i="33"/>
  <c r="U65" i="33"/>
  <c r="T65" i="33"/>
  <c r="S65" i="33"/>
  <c r="R65" i="33"/>
  <c r="Q65" i="33"/>
  <c r="P65" i="33"/>
  <c r="O65" i="33"/>
  <c r="Z64" i="33"/>
  <c r="Y64" i="33"/>
  <c r="X64" i="33"/>
  <c r="W64" i="33"/>
  <c r="V64" i="33"/>
  <c r="U64" i="33"/>
  <c r="T64" i="33"/>
  <c r="S64" i="33"/>
  <c r="R64" i="33"/>
  <c r="Q64" i="33"/>
  <c r="P64" i="33"/>
  <c r="O64" i="33"/>
  <c r="Z63" i="33"/>
  <c r="Y63" i="33"/>
  <c r="X63" i="33"/>
  <c r="W63" i="33"/>
  <c r="V63" i="33"/>
  <c r="U63" i="33"/>
  <c r="T63" i="33"/>
  <c r="S63" i="33"/>
  <c r="R63" i="33"/>
  <c r="Q63" i="33"/>
  <c r="P63" i="33"/>
  <c r="O63" i="33"/>
  <c r="Z62" i="33"/>
  <c r="Y62" i="33"/>
  <c r="X62" i="33"/>
  <c r="W62" i="33"/>
  <c r="V62" i="33"/>
  <c r="U62" i="33"/>
  <c r="T62" i="33"/>
  <c r="S62" i="33"/>
  <c r="R62" i="33"/>
  <c r="Q62" i="33"/>
  <c r="P62" i="33"/>
  <c r="O62" i="33"/>
  <c r="Z61" i="33"/>
  <c r="Y61" i="33"/>
  <c r="X61" i="33"/>
  <c r="W61" i="33"/>
  <c r="V61" i="33"/>
  <c r="U61" i="33"/>
  <c r="T61" i="33"/>
  <c r="S61" i="33"/>
  <c r="R61" i="33"/>
  <c r="Q61" i="33"/>
  <c r="P61" i="33"/>
  <c r="O61" i="33"/>
  <c r="Z60" i="33"/>
  <c r="Y60" i="33"/>
  <c r="X60" i="33"/>
  <c r="W60" i="33"/>
  <c r="V60" i="33"/>
  <c r="U60" i="33"/>
  <c r="T60" i="33"/>
  <c r="S60" i="33"/>
  <c r="R60" i="33"/>
  <c r="Q60" i="33"/>
  <c r="P60" i="33"/>
  <c r="O60" i="33"/>
  <c r="Z59" i="33"/>
  <c r="Y59" i="33"/>
  <c r="X59" i="33"/>
  <c r="W59" i="33"/>
  <c r="V59" i="33"/>
  <c r="U59" i="33"/>
  <c r="T59" i="33"/>
  <c r="S59" i="33"/>
  <c r="R59" i="33"/>
  <c r="Q59" i="33"/>
  <c r="P59" i="33"/>
  <c r="O59" i="33"/>
  <c r="Z58" i="33"/>
  <c r="Y58" i="33"/>
  <c r="X58" i="33"/>
  <c r="W58" i="33"/>
  <c r="V58" i="33"/>
  <c r="U58" i="33"/>
  <c r="T58" i="33"/>
  <c r="S58" i="33"/>
  <c r="R58" i="33"/>
  <c r="Q58" i="33"/>
  <c r="P58" i="33"/>
  <c r="O58" i="33"/>
  <c r="Z57" i="33"/>
  <c r="Y57" i="33"/>
  <c r="X57" i="33"/>
  <c r="W57" i="33"/>
  <c r="V57" i="33"/>
  <c r="U57" i="33"/>
  <c r="T57" i="33"/>
  <c r="S57" i="33"/>
  <c r="R57" i="33"/>
  <c r="Q57" i="33"/>
  <c r="P57" i="33"/>
  <c r="O57" i="33"/>
  <c r="Z56" i="33"/>
  <c r="Y56" i="33"/>
  <c r="X56" i="33"/>
  <c r="W56" i="33"/>
  <c r="V56" i="33"/>
  <c r="U56" i="33"/>
  <c r="T56" i="33"/>
  <c r="S56" i="33"/>
  <c r="R56" i="33"/>
  <c r="Q56" i="33"/>
  <c r="P56" i="33"/>
  <c r="O56" i="33"/>
  <c r="Z55" i="33"/>
  <c r="Y55" i="33"/>
  <c r="X55" i="33"/>
  <c r="W55" i="33"/>
  <c r="V55" i="33"/>
  <c r="U55" i="33"/>
  <c r="T55" i="33"/>
  <c r="S55" i="33"/>
  <c r="R55" i="33"/>
  <c r="Q55" i="33"/>
  <c r="P55" i="33"/>
  <c r="O55" i="33"/>
  <c r="Z54" i="33"/>
  <c r="Y54" i="33"/>
  <c r="X54" i="33"/>
  <c r="W54" i="33"/>
  <c r="V54" i="33"/>
  <c r="U54" i="33"/>
  <c r="T54" i="33"/>
  <c r="S54" i="33"/>
  <c r="R54" i="33"/>
  <c r="Q54" i="33"/>
  <c r="P54" i="33"/>
  <c r="O54" i="33"/>
  <c r="Z53" i="33"/>
  <c r="Y53" i="33"/>
  <c r="X53" i="33"/>
  <c r="W53" i="33"/>
  <c r="V53" i="33"/>
  <c r="U53" i="33"/>
  <c r="T53" i="33"/>
  <c r="S53" i="33"/>
  <c r="R53" i="33"/>
  <c r="Q53" i="33"/>
  <c r="P53" i="33"/>
  <c r="O53" i="33"/>
  <c r="Z52" i="33"/>
  <c r="Y52" i="33"/>
  <c r="X52" i="33"/>
  <c r="W52" i="33"/>
  <c r="V52" i="33"/>
  <c r="U52" i="33"/>
  <c r="T52" i="33"/>
  <c r="S52" i="33"/>
  <c r="R52" i="33"/>
  <c r="Q52" i="33"/>
  <c r="P52" i="33"/>
  <c r="O52" i="33"/>
  <c r="Z51" i="33"/>
  <c r="Y51" i="33"/>
  <c r="X51" i="33"/>
  <c r="W51" i="33"/>
  <c r="V51" i="33"/>
  <c r="U51" i="33"/>
  <c r="T51" i="33"/>
  <c r="S51" i="33"/>
  <c r="R51" i="33"/>
  <c r="Q51" i="33"/>
  <c r="P51" i="33"/>
  <c r="O51" i="33"/>
  <c r="Z50" i="33"/>
  <c r="Y50" i="33"/>
  <c r="X50" i="33"/>
  <c r="W50" i="33"/>
  <c r="V50" i="33"/>
  <c r="U50" i="33"/>
  <c r="T50" i="33"/>
  <c r="S50" i="33"/>
  <c r="R50" i="33"/>
  <c r="Q50" i="33"/>
  <c r="P50" i="33"/>
  <c r="O50" i="33"/>
  <c r="Z49" i="33"/>
  <c r="Y49" i="33"/>
  <c r="X49" i="33"/>
  <c r="W49" i="33"/>
  <c r="V49" i="33"/>
  <c r="U49" i="33"/>
  <c r="T49" i="33"/>
  <c r="S49" i="33"/>
  <c r="R49" i="33"/>
  <c r="Q49" i="33"/>
  <c r="P49" i="33"/>
  <c r="O49" i="33"/>
  <c r="Z48" i="33"/>
  <c r="Y48" i="33"/>
  <c r="X48" i="33"/>
  <c r="W48" i="33"/>
  <c r="V48" i="33"/>
  <c r="U48" i="33"/>
  <c r="T48" i="33"/>
  <c r="S48" i="33"/>
  <c r="R48" i="33"/>
  <c r="Q48" i="33"/>
  <c r="P48" i="33"/>
  <c r="O48" i="33"/>
  <c r="Z47" i="33"/>
  <c r="Y47" i="33"/>
  <c r="X47" i="33"/>
  <c r="W47" i="33"/>
  <c r="V47" i="33"/>
  <c r="U47" i="33"/>
  <c r="T47" i="33"/>
  <c r="S47" i="33"/>
  <c r="R47" i="33"/>
  <c r="Q47" i="33"/>
  <c r="P47" i="33"/>
  <c r="O47" i="33"/>
  <c r="Z46" i="33"/>
  <c r="Y46" i="33"/>
  <c r="X46" i="33"/>
  <c r="W46" i="33"/>
  <c r="V46" i="33"/>
  <c r="U46" i="33"/>
  <c r="T46" i="33"/>
  <c r="S46" i="33"/>
  <c r="R46" i="33"/>
  <c r="Q46" i="33"/>
  <c r="P46" i="33"/>
  <c r="O46" i="33"/>
  <c r="Z45" i="33"/>
  <c r="Y45" i="33"/>
  <c r="X45" i="33"/>
  <c r="W45" i="33"/>
  <c r="V45" i="33"/>
  <c r="U45" i="33"/>
  <c r="T45" i="33"/>
  <c r="S45" i="33"/>
  <c r="R45" i="33"/>
  <c r="Q45" i="33"/>
  <c r="P45" i="33"/>
  <c r="O45" i="33"/>
  <c r="Z44" i="33"/>
  <c r="Y44" i="33"/>
  <c r="X44" i="33"/>
  <c r="W44" i="33"/>
  <c r="V44" i="33"/>
  <c r="U44" i="33"/>
  <c r="T44" i="33"/>
  <c r="S44" i="33"/>
  <c r="R44" i="33"/>
  <c r="Q44" i="33"/>
  <c r="P44" i="33"/>
  <c r="O44" i="33"/>
  <c r="Z43" i="33"/>
  <c r="Y43" i="33"/>
  <c r="X43" i="33"/>
  <c r="W43" i="33"/>
  <c r="V43" i="33"/>
  <c r="U43" i="33"/>
  <c r="T43" i="33"/>
  <c r="S43" i="33"/>
  <c r="R43" i="33"/>
  <c r="Q43" i="33"/>
  <c r="P43" i="33"/>
  <c r="O43" i="33"/>
  <c r="Z42" i="33"/>
  <c r="Y42" i="33"/>
  <c r="X42" i="33"/>
  <c r="W42" i="33"/>
  <c r="V42" i="33"/>
  <c r="U42" i="33"/>
  <c r="T42" i="33"/>
  <c r="S42" i="33"/>
  <c r="R42" i="33"/>
  <c r="Q42" i="33"/>
  <c r="P42" i="33"/>
  <c r="O42" i="33"/>
  <c r="Z41" i="33"/>
  <c r="Y41" i="33"/>
  <c r="X41" i="33"/>
  <c r="W41" i="33"/>
  <c r="V41" i="33"/>
  <c r="U41" i="33"/>
  <c r="T41" i="33"/>
  <c r="S41" i="33"/>
  <c r="R41" i="33"/>
  <c r="Q41" i="33"/>
  <c r="P41" i="33"/>
  <c r="O41" i="33"/>
  <c r="Z40" i="33"/>
  <c r="Y40" i="33"/>
  <c r="X40" i="33"/>
  <c r="W40" i="33"/>
  <c r="V40" i="33"/>
  <c r="U40" i="33"/>
  <c r="T40" i="33"/>
  <c r="S40" i="33"/>
  <c r="R40" i="33"/>
  <c r="Q40" i="33"/>
  <c r="P40" i="33"/>
  <c r="O40" i="33"/>
  <c r="Z39" i="33"/>
  <c r="Y39" i="33"/>
  <c r="X39" i="33"/>
  <c r="W39" i="33"/>
  <c r="V39" i="33"/>
  <c r="U39" i="33"/>
  <c r="T39" i="33"/>
  <c r="S39" i="33"/>
  <c r="R39" i="33"/>
  <c r="Q39" i="33"/>
  <c r="P39" i="33"/>
  <c r="O39" i="33"/>
  <c r="Z38" i="33"/>
  <c r="Y38" i="33"/>
  <c r="X38" i="33"/>
  <c r="W38" i="33"/>
  <c r="V38" i="33"/>
  <c r="U38" i="33"/>
  <c r="T38" i="33"/>
  <c r="S38" i="33"/>
  <c r="R38" i="33"/>
  <c r="Q38" i="33"/>
  <c r="P38" i="33"/>
  <c r="O38" i="33"/>
  <c r="Z37" i="33"/>
  <c r="Y37" i="33"/>
  <c r="X37" i="33"/>
  <c r="W37" i="33"/>
  <c r="V37" i="33"/>
  <c r="U37" i="33"/>
  <c r="T37" i="33"/>
  <c r="S37" i="33"/>
  <c r="R37" i="33"/>
  <c r="Q37" i="33"/>
  <c r="P37" i="33"/>
  <c r="O37" i="33"/>
  <c r="Z36" i="33"/>
  <c r="Y36" i="33"/>
  <c r="X36" i="33"/>
  <c r="W36" i="33"/>
  <c r="V36" i="33"/>
  <c r="U36" i="33"/>
  <c r="T36" i="33"/>
  <c r="S36" i="33"/>
  <c r="R36" i="33"/>
  <c r="Q36" i="33"/>
  <c r="P36" i="33"/>
  <c r="O36" i="33"/>
  <c r="Z35" i="33"/>
  <c r="Y35" i="33"/>
  <c r="X35" i="33"/>
  <c r="W35" i="33"/>
  <c r="V35" i="33"/>
  <c r="U35" i="33"/>
  <c r="T35" i="33"/>
  <c r="S35" i="33"/>
  <c r="R35" i="33"/>
  <c r="Q35" i="33"/>
  <c r="P35" i="33"/>
  <c r="O35" i="33"/>
  <c r="Z34" i="33"/>
  <c r="Y34" i="33"/>
  <c r="X34" i="33"/>
  <c r="W34" i="33"/>
  <c r="V34" i="33"/>
  <c r="U34" i="33"/>
  <c r="T34" i="33"/>
  <c r="S34" i="33"/>
  <c r="R34" i="33"/>
  <c r="Q34" i="33"/>
  <c r="P34" i="33"/>
  <c r="O34" i="33"/>
  <c r="Z33" i="33"/>
  <c r="Y33" i="33"/>
  <c r="X33" i="33"/>
  <c r="W33" i="33"/>
  <c r="V33" i="33"/>
  <c r="U33" i="33"/>
  <c r="T33" i="33"/>
  <c r="S33" i="33"/>
  <c r="R33" i="33"/>
  <c r="Q33" i="33"/>
  <c r="P33" i="33"/>
  <c r="O33" i="33"/>
  <c r="Z32" i="33"/>
  <c r="Y32" i="33"/>
  <c r="X32" i="33"/>
  <c r="W32" i="33"/>
  <c r="V32" i="33"/>
  <c r="U32" i="33"/>
  <c r="T32" i="33"/>
  <c r="S32" i="33"/>
  <c r="R32" i="33"/>
  <c r="Q32" i="33"/>
  <c r="P32" i="33"/>
  <c r="O32" i="33"/>
  <c r="Z31" i="33"/>
  <c r="Y31" i="33"/>
  <c r="X31" i="33"/>
  <c r="W31" i="33"/>
  <c r="V31" i="33"/>
  <c r="U31" i="33"/>
  <c r="T31" i="33"/>
  <c r="S31" i="33"/>
  <c r="R31" i="33"/>
  <c r="Q31" i="33"/>
  <c r="P31" i="33"/>
  <c r="O31" i="33"/>
  <c r="Z30" i="33"/>
  <c r="Y30" i="33"/>
  <c r="X30" i="33"/>
  <c r="W30" i="33"/>
  <c r="V30" i="33"/>
  <c r="U30" i="33"/>
  <c r="T30" i="33"/>
  <c r="S30" i="33"/>
  <c r="R30" i="33"/>
  <c r="Q30" i="33"/>
  <c r="P30" i="33"/>
  <c r="O30" i="33"/>
  <c r="Z29" i="33"/>
  <c r="Y29" i="33"/>
  <c r="X29" i="33"/>
  <c r="W29" i="33"/>
  <c r="V29" i="33"/>
  <c r="U29" i="33"/>
  <c r="T29" i="33"/>
  <c r="S29" i="33"/>
  <c r="R29" i="33"/>
  <c r="Q29" i="33"/>
  <c r="P29" i="33"/>
  <c r="O29" i="33"/>
  <c r="Z28" i="33"/>
  <c r="Y28" i="33"/>
  <c r="X28" i="33"/>
  <c r="W28" i="33"/>
  <c r="V28" i="33"/>
  <c r="U28" i="33"/>
  <c r="T28" i="33"/>
  <c r="S28" i="33"/>
  <c r="R28" i="33"/>
  <c r="Q28" i="33"/>
  <c r="P28" i="33"/>
  <c r="O28" i="33"/>
  <c r="Z27" i="33"/>
  <c r="Y27" i="33"/>
  <c r="X27" i="33"/>
  <c r="W27" i="33"/>
  <c r="V27" i="33"/>
  <c r="U27" i="33"/>
  <c r="T27" i="33"/>
  <c r="S27" i="33"/>
  <c r="R27" i="33"/>
  <c r="Q27" i="33"/>
  <c r="P27" i="33"/>
  <c r="O27" i="33"/>
  <c r="Z26" i="33"/>
  <c r="Y26" i="33"/>
  <c r="X26" i="33"/>
  <c r="W26" i="33"/>
  <c r="V26" i="33"/>
  <c r="U26" i="33"/>
  <c r="T26" i="33"/>
  <c r="S26" i="33"/>
  <c r="R26" i="33"/>
  <c r="Q26" i="33"/>
  <c r="P26" i="33"/>
  <c r="O26" i="33"/>
  <c r="Z25" i="33"/>
  <c r="Y25" i="33"/>
  <c r="X25" i="33"/>
  <c r="W25" i="33"/>
  <c r="V25" i="33"/>
  <c r="U25" i="33"/>
  <c r="T25" i="33"/>
  <c r="S25" i="33"/>
  <c r="R25" i="33"/>
  <c r="Q25" i="33"/>
  <c r="P25" i="33"/>
  <c r="O25" i="33"/>
  <c r="Z24" i="33"/>
  <c r="Y24" i="33"/>
  <c r="X24" i="33"/>
  <c r="W24" i="33"/>
  <c r="V24" i="33"/>
  <c r="U24" i="33"/>
  <c r="T24" i="33"/>
  <c r="S24" i="33"/>
  <c r="R24" i="33"/>
  <c r="Q24" i="33"/>
  <c r="P24" i="33"/>
  <c r="O24" i="33"/>
  <c r="Z23" i="33"/>
  <c r="Y23" i="33"/>
  <c r="X23" i="33"/>
  <c r="W23" i="33"/>
  <c r="V23" i="33"/>
  <c r="U23" i="33"/>
  <c r="T23" i="33"/>
  <c r="S23" i="33"/>
  <c r="R23" i="33"/>
  <c r="Q23" i="33"/>
  <c r="P23" i="33"/>
  <c r="O23" i="33"/>
  <c r="Z22" i="33"/>
  <c r="Y22" i="33"/>
  <c r="X22" i="33"/>
  <c r="W22" i="33"/>
  <c r="V22" i="33"/>
  <c r="U22" i="33"/>
  <c r="T22" i="33"/>
  <c r="S22" i="33"/>
  <c r="R22" i="33"/>
  <c r="Q22" i="33"/>
  <c r="P22" i="33"/>
  <c r="O22" i="33"/>
  <c r="Z21" i="33"/>
  <c r="Y21" i="33"/>
  <c r="X21" i="33"/>
  <c r="W21" i="33"/>
  <c r="V21" i="33"/>
  <c r="U21" i="33"/>
  <c r="T21" i="33"/>
  <c r="S21" i="33"/>
  <c r="R21" i="33"/>
  <c r="Q21" i="33"/>
  <c r="P21" i="33"/>
  <c r="O21" i="33"/>
  <c r="Z20" i="33"/>
  <c r="Y20" i="33"/>
  <c r="X20" i="33"/>
  <c r="W20" i="33"/>
  <c r="V20" i="33"/>
  <c r="U20" i="33"/>
  <c r="T20" i="33"/>
  <c r="S20" i="33"/>
  <c r="R20" i="33"/>
  <c r="Q20" i="33"/>
  <c r="P20" i="33"/>
  <c r="O20" i="33"/>
  <c r="Z19" i="33"/>
  <c r="Y19" i="33"/>
  <c r="X19" i="33"/>
  <c r="W19" i="33"/>
  <c r="V19" i="33"/>
  <c r="U19" i="33"/>
  <c r="T19" i="33"/>
  <c r="S19" i="33"/>
  <c r="R19" i="33"/>
  <c r="Q19" i="33"/>
  <c r="P19" i="33"/>
  <c r="O19" i="33"/>
  <c r="F7" i="33"/>
  <c r="C7" i="33"/>
  <c r="E5" i="33"/>
  <c r="E3" i="33" s="1"/>
  <c r="F3" i="33"/>
  <c r="C3" i="33"/>
  <c r="B3" i="33"/>
  <c r="F2" i="33"/>
  <c r="C2" i="33"/>
  <c r="C4" i="33" s="1"/>
  <c r="B2" i="33"/>
  <c r="H5" i="25"/>
  <c r="H5" i="32" s="1"/>
  <c r="H4" i="25"/>
  <c r="H4" i="32" s="1"/>
  <c r="B6" i="25"/>
  <c r="B6" i="32" s="1"/>
  <c r="B4" i="25"/>
  <c r="B4" i="32" s="1"/>
  <c r="B3" i="25"/>
  <c r="B3" i="32" s="1"/>
  <c r="H5" i="4"/>
  <c r="H4" i="4"/>
  <c r="B6" i="4"/>
  <c r="B4" i="4"/>
  <c r="B3" i="4"/>
  <c r="C21" i="32"/>
  <c r="H1" i="32"/>
  <c r="E23" i="25"/>
  <c r="C23" i="25"/>
  <c r="B23" i="25"/>
  <c r="D23" i="25" s="1"/>
  <c r="A23" i="25"/>
  <c r="E172" i="25"/>
  <c r="E157" i="25"/>
  <c r="E20" i="25"/>
  <c r="C20" i="25"/>
  <c r="B20" i="25"/>
  <c r="D20" i="25" s="1"/>
  <c r="A20" i="25"/>
  <c r="B5" i="25"/>
  <c r="B5" i="32" s="1"/>
  <c r="AC15" i="33" l="1"/>
  <c r="AD15" i="33" s="1"/>
  <c r="Q14" i="33"/>
  <c r="Q12" i="33" s="1"/>
  <c r="J14" i="33"/>
  <c r="J12" i="33" s="1"/>
  <c r="P15" i="33"/>
  <c r="V15" i="33"/>
  <c r="E2" i="33"/>
  <c r="E4" i="33" s="1"/>
  <c r="F4" i="33"/>
  <c r="AE15" i="33"/>
  <c r="D37" i="20" s="1"/>
  <c r="B4" i="33"/>
  <c r="E53" i="33" s="1"/>
  <c r="F53" i="33" s="1"/>
  <c r="G53" i="33" s="1"/>
  <c r="H53" i="33" s="1"/>
  <c r="I53" i="33" s="1"/>
  <c r="J53" i="33" s="1"/>
  <c r="K53" i="33" s="1"/>
  <c r="L53" i="33" s="1"/>
  <c r="M53" i="33" s="1"/>
  <c r="B54" i="33" s="1"/>
  <c r="C54" i="33" s="1"/>
  <c r="D54" i="33" s="1"/>
  <c r="E54" i="33" s="1"/>
  <c r="F54" i="33" s="1"/>
  <c r="G54" i="33" s="1"/>
  <c r="H54" i="33" s="1"/>
  <c r="I54" i="33" s="1"/>
  <c r="J54" i="33" s="1"/>
  <c r="K54" i="33" s="1"/>
  <c r="L54" i="33" s="1"/>
  <c r="M54" i="33" s="1"/>
  <c r="B55" i="33" s="1"/>
  <c r="C55" i="33" s="1"/>
  <c r="D55" i="33" s="1"/>
  <c r="E55" i="33" s="1"/>
  <c r="F55" i="33" s="1"/>
  <c r="G55" i="33" s="1"/>
  <c r="H55" i="33" s="1"/>
  <c r="I55" i="33" s="1"/>
  <c r="J55" i="33" s="1"/>
  <c r="K55" i="33" s="1"/>
  <c r="L55" i="33" s="1"/>
  <c r="M55" i="33" s="1"/>
  <c r="B56" i="33" s="1"/>
  <c r="C56" i="33" s="1"/>
  <c r="D56" i="33" s="1"/>
  <c r="E56" i="33" s="1"/>
  <c r="F56" i="33" s="1"/>
  <c r="G56" i="33" s="1"/>
  <c r="H56" i="33" s="1"/>
  <c r="I56" i="33" s="1"/>
  <c r="J56" i="33" s="1"/>
  <c r="K56" i="33" s="1"/>
  <c r="L56" i="33" s="1"/>
  <c r="M56" i="33" s="1"/>
  <c r="B57" i="33" s="1"/>
  <c r="D25" i="20"/>
  <c r="D9" i="20"/>
  <c r="E17" i="20"/>
  <c r="D47" i="20"/>
  <c r="D12" i="33"/>
  <c r="D13" i="33" s="1"/>
  <c r="W14" i="33"/>
  <c r="G20" i="25"/>
  <c r="C12" i="33"/>
  <c r="C13" i="33" s="1"/>
  <c r="Q11" i="33"/>
  <c r="I12" i="33"/>
  <c r="G23" i="25"/>
  <c r="B5" i="4"/>
  <c r="D48" i="28"/>
  <c r="C48" i="28" s="1"/>
  <c r="G8" i="28"/>
  <c r="F8" i="28"/>
  <c r="D7" i="28" s="1"/>
  <c r="C7" i="28" s="1"/>
  <c r="J11" i="33" l="1"/>
  <c r="J13" i="33" s="1"/>
  <c r="D15" i="20"/>
  <c r="D27" i="20"/>
  <c r="D30" i="20"/>
  <c r="D35" i="20"/>
  <c r="D12" i="20"/>
  <c r="D41" i="20"/>
  <c r="E18" i="20"/>
  <c r="D51" i="20"/>
  <c r="D34" i="20"/>
  <c r="E16" i="20"/>
  <c r="D21" i="20"/>
  <c r="G10" i="34"/>
  <c r="E30" i="20"/>
  <c r="E37" i="20"/>
  <c r="D4" i="20"/>
  <c r="E50" i="20"/>
  <c r="D18" i="20"/>
  <c r="E24" i="20"/>
  <c r="E34" i="20"/>
  <c r="E13" i="20"/>
  <c r="E19" i="20"/>
  <c r="E52" i="20"/>
  <c r="E51" i="20"/>
  <c r="E47" i="20"/>
  <c r="E41" i="20"/>
  <c r="E27" i="20"/>
  <c r="E35" i="20"/>
  <c r="C57" i="33"/>
  <c r="D57" i="33" s="1"/>
  <c r="E57" i="33" s="1"/>
  <c r="F57" i="33" s="1"/>
  <c r="G57" i="33" s="1"/>
  <c r="H57" i="33" s="1"/>
  <c r="I57" i="33" s="1"/>
  <c r="J57" i="33" s="1"/>
  <c r="K57" i="33" s="1"/>
  <c r="L57" i="33" s="1"/>
  <c r="M57" i="33" s="1"/>
  <c r="B58" i="33" s="1"/>
  <c r="C58" i="33" s="1"/>
  <c r="D58" i="33" s="1"/>
  <c r="E58" i="33" s="1"/>
  <c r="F58" i="33" s="1"/>
  <c r="G58" i="33" s="1"/>
  <c r="H58" i="33" s="1"/>
  <c r="I58" i="33" s="1"/>
  <c r="J58" i="33" s="1"/>
  <c r="K58" i="33" s="1"/>
  <c r="L58" i="33" s="1"/>
  <c r="M58" i="33" s="1"/>
  <c r="B59" i="33" s="1"/>
  <c r="C59" i="33" s="1"/>
  <c r="D59" i="33" s="1"/>
  <c r="E59" i="33" s="1"/>
  <c r="F59" i="33" s="1"/>
  <c r="G59" i="33" s="1"/>
  <c r="H59" i="33" s="1"/>
  <c r="I59" i="33" s="1"/>
  <c r="J59" i="33" s="1"/>
  <c r="K59" i="33" s="1"/>
  <c r="L59" i="33" s="1"/>
  <c r="M59" i="33" s="1"/>
  <c r="B60" i="33" s="1"/>
  <c r="C60" i="33" s="1"/>
  <c r="D60" i="33" s="1"/>
  <c r="E60" i="33" s="1"/>
  <c r="F60" i="33" s="1"/>
  <c r="G60" i="33" s="1"/>
  <c r="H60" i="33" s="1"/>
  <c r="I60" i="33" s="1"/>
  <c r="J60" i="33" s="1"/>
  <c r="K60" i="33" s="1"/>
  <c r="L60" i="33" s="1"/>
  <c r="M60" i="33" s="1"/>
  <c r="B61" i="33" s="1"/>
  <c r="C61" i="33" s="1"/>
  <c r="D61" i="33" s="1"/>
  <c r="E61" i="33" s="1"/>
  <c r="F61" i="33" s="1"/>
  <c r="G61" i="33" s="1"/>
  <c r="H61" i="33" s="1"/>
  <c r="I61" i="33" s="1"/>
  <c r="J61" i="33" s="1"/>
  <c r="K61" i="33" s="1"/>
  <c r="L61" i="33" s="1"/>
  <c r="M61" i="33" s="1"/>
  <c r="B62" i="33" s="1"/>
  <c r="C62" i="33" s="1"/>
  <c r="D62" i="33" s="1"/>
  <c r="E62" i="33" s="1"/>
  <c r="F62" i="33" s="1"/>
  <c r="G62" i="33" s="1"/>
  <c r="H62" i="33" s="1"/>
  <c r="I62" i="33" s="1"/>
  <c r="J62" i="33" s="1"/>
  <c r="K62" i="33" s="1"/>
  <c r="L62" i="33" s="1"/>
  <c r="M62" i="33" s="1"/>
  <c r="B63" i="33" s="1"/>
  <c r="C63" i="33" s="1"/>
  <c r="D63" i="33" s="1"/>
  <c r="E63" i="33" s="1"/>
  <c r="F63" i="33" s="1"/>
  <c r="G63" i="33" s="1"/>
  <c r="H63" i="33" s="1"/>
  <c r="I63" i="33" s="1"/>
  <c r="J63" i="33" s="1"/>
  <c r="K63" i="33" s="1"/>
  <c r="L63" i="33" s="1"/>
  <c r="M63" i="33" s="1"/>
  <c r="B64" i="33" s="1"/>
  <c r="C64" i="33" s="1"/>
  <c r="D64" i="33" s="1"/>
  <c r="E64" i="33" s="1"/>
  <c r="F64" i="33" s="1"/>
  <c r="G64" i="33" s="1"/>
  <c r="H64" i="33" s="1"/>
  <c r="I64" i="33" s="1"/>
  <c r="J64" i="33" s="1"/>
  <c r="K64" i="33" s="1"/>
  <c r="L64" i="33" s="1"/>
  <c r="M64" i="33" s="1"/>
  <c r="B65" i="33" s="1"/>
  <c r="C65" i="33" s="1"/>
  <c r="D65" i="33" s="1"/>
  <c r="E65" i="33" s="1"/>
  <c r="F65" i="33" s="1"/>
  <c r="G65" i="33" s="1"/>
  <c r="H65" i="33" s="1"/>
  <c r="I65" i="33" s="1"/>
  <c r="J65" i="33" s="1"/>
  <c r="K65" i="33" s="1"/>
  <c r="L65" i="33" s="1"/>
  <c r="M65" i="33" s="1"/>
  <c r="B66" i="33" s="1"/>
  <c r="C66" i="33" s="1"/>
  <c r="D66" i="33" s="1"/>
  <c r="E66" i="33" s="1"/>
  <c r="F66" i="33" s="1"/>
  <c r="G66" i="33" s="1"/>
  <c r="H66" i="33" s="1"/>
  <c r="I66" i="33" s="1"/>
  <c r="J66" i="33" s="1"/>
  <c r="K66" i="33" s="1"/>
  <c r="L66" i="33" s="1"/>
  <c r="M66" i="33" s="1"/>
  <c r="B67" i="33" s="1"/>
  <c r="C67" i="33" s="1"/>
  <c r="D67" i="33" s="1"/>
  <c r="E67" i="33" s="1"/>
  <c r="F67" i="33" s="1"/>
  <c r="G67" i="33" s="1"/>
  <c r="H67" i="33" s="1"/>
  <c r="I67" i="33" s="1"/>
  <c r="J67" i="33" s="1"/>
  <c r="K67" i="33" s="1"/>
  <c r="L67" i="33" s="1"/>
  <c r="M67" i="33" s="1"/>
  <c r="B68" i="33" s="1"/>
  <c r="C68" i="33" s="1"/>
  <c r="D68" i="33" s="1"/>
  <c r="E68" i="33" s="1"/>
  <c r="F68" i="33" s="1"/>
  <c r="G68" i="33" s="1"/>
  <c r="H68" i="33" s="1"/>
  <c r="I68" i="33" s="1"/>
  <c r="J68" i="33" s="1"/>
  <c r="K68" i="33" s="1"/>
  <c r="L68" i="33" s="1"/>
  <c r="M68" i="33" s="1"/>
  <c r="B69" i="33" s="1"/>
  <c r="C69" i="33" s="1"/>
  <c r="D69" i="33" s="1"/>
  <c r="E69" i="33" s="1"/>
  <c r="F69" i="33" s="1"/>
  <c r="G69" i="33" s="1"/>
  <c r="H69" i="33" s="1"/>
  <c r="I69" i="33" s="1"/>
  <c r="J69" i="33" s="1"/>
  <c r="K69" i="33" s="1"/>
  <c r="L69" i="33" s="1"/>
  <c r="M69" i="33" s="1"/>
  <c r="B70" i="33" s="1"/>
  <c r="C70" i="33" s="1"/>
  <c r="D70" i="33" s="1"/>
  <c r="E70" i="33" s="1"/>
  <c r="F70" i="33" s="1"/>
  <c r="G70" i="33" s="1"/>
  <c r="H70" i="33" s="1"/>
  <c r="I70" i="33" s="1"/>
  <c r="J70" i="33" s="1"/>
  <c r="K70" i="33" s="1"/>
  <c r="L70" i="33" s="1"/>
  <c r="M70" i="33" s="1"/>
  <c r="B71" i="33" s="1"/>
  <c r="C71" i="33" s="1"/>
  <c r="D71" i="33" s="1"/>
  <c r="E71" i="33" s="1"/>
  <c r="F71" i="33" s="1"/>
  <c r="G71" i="33" s="1"/>
  <c r="H71" i="33" s="1"/>
  <c r="I71" i="33" s="1"/>
  <c r="J71" i="33" s="1"/>
  <c r="K71" i="33" s="1"/>
  <c r="L71" i="33" s="1"/>
  <c r="M71" i="33" s="1"/>
  <c r="B72" i="33" s="1"/>
  <c r="C72" i="33" s="1"/>
  <c r="D72" i="33" s="1"/>
  <c r="E72" i="33" s="1"/>
  <c r="F72" i="33" s="1"/>
  <c r="G72" i="33" s="1"/>
  <c r="H72" i="33" s="1"/>
  <c r="I72" i="33" s="1"/>
  <c r="J72" i="33" s="1"/>
  <c r="K72" i="33" s="1"/>
  <c r="L72" i="33" s="1"/>
  <c r="M72" i="33" s="1"/>
  <c r="B73" i="33" s="1"/>
  <c r="C73" i="33" s="1"/>
  <c r="D73" i="33" s="1"/>
  <c r="E73" i="33" s="1"/>
  <c r="F73" i="33" s="1"/>
  <c r="G73" i="33" s="1"/>
  <c r="H73" i="33" s="1"/>
  <c r="I73" i="33" s="1"/>
  <c r="J73" i="33" s="1"/>
  <c r="K73" i="33" s="1"/>
  <c r="L73" i="33" s="1"/>
  <c r="M73" i="33" s="1"/>
  <c r="B74" i="33" s="1"/>
  <c r="C74" i="33" s="1"/>
  <c r="D74" i="33" s="1"/>
  <c r="E74" i="33" s="1"/>
  <c r="F74" i="33" s="1"/>
  <c r="G74" i="33" s="1"/>
  <c r="H74" i="33" s="1"/>
  <c r="I74" i="33" s="1"/>
  <c r="J74" i="33" s="1"/>
  <c r="K74" i="33" s="1"/>
  <c r="L74" i="33" s="1"/>
  <c r="M74" i="33" s="1"/>
  <c r="B75" i="33" s="1"/>
  <c r="C75" i="33" s="1"/>
  <c r="D75" i="33" s="1"/>
  <c r="E75" i="33" s="1"/>
  <c r="F75" i="33" s="1"/>
  <c r="G75" i="33" s="1"/>
  <c r="H75" i="33" s="1"/>
  <c r="I75" i="33" s="1"/>
  <c r="J75" i="33" s="1"/>
  <c r="K75" i="33" s="1"/>
  <c r="L75" i="33" s="1"/>
  <c r="M75" i="33" s="1"/>
  <c r="B76" i="33" s="1"/>
  <c r="C76" i="33" s="1"/>
  <c r="D76" i="33" s="1"/>
  <c r="E76" i="33" s="1"/>
  <c r="F76" i="33" s="1"/>
  <c r="G76" i="33" s="1"/>
  <c r="H76" i="33" s="1"/>
  <c r="I76" i="33" s="1"/>
  <c r="J76" i="33" s="1"/>
  <c r="K76" i="33" s="1"/>
  <c r="L76" i="33" s="1"/>
  <c r="M76" i="33" s="1"/>
  <c r="B77" i="33" s="1"/>
  <c r="C77" i="33" s="1"/>
  <c r="D77" i="33" s="1"/>
  <c r="E77" i="33" s="1"/>
  <c r="F77" i="33" s="1"/>
  <c r="G77" i="33" s="1"/>
  <c r="H77" i="33" s="1"/>
  <c r="I77" i="33" s="1"/>
  <c r="J77" i="33" s="1"/>
  <c r="K77" i="33" s="1"/>
  <c r="L77" i="33" s="1"/>
  <c r="M77" i="33" s="1"/>
  <c r="B78" i="33" s="1"/>
  <c r="C78" i="33" s="1"/>
  <c r="D78" i="33" s="1"/>
  <c r="E78" i="33" s="1"/>
  <c r="F78" i="33" s="1"/>
  <c r="G78" i="33" s="1"/>
  <c r="H78" i="33" s="1"/>
  <c r="I78" i="33" s="1"/>
  <c r="J78" i="33" s="1"/>
  <c r="K78" i="33" s="1"/>
  <c r="L78" i="33" s="1"/>
  <c r="M78" i="33" s="1"/>
  <c r="B79" i="33" s="1"/>
  <c r="C79" i="33" s="1"/>
  <c r="D79" i="33" s="1"/>
  <c r="E79" i="33" s="1"/>
  <c r="F79" i="33" s="1"/>
  <c r="G79" i="33" s="1"/>
  <c r="H79" i="33" s="1"/>
  <c r="I79" i="33" s="1"/>
  <c r="J79" i="33" s="1"/>
  <c r="K79" i="33" s="1"/>
  <c r="L79" i="33" s="1"/>
  <c r="M79" i="33" s="1"/>
  <c r="B80" i="33" s="1"/>
  <c r="C80" i="33" s="1"/>
  <c r="D80" i="33" s="1"/>
  <c r="E80" i="33" s="1"/>
  <c r="F80" i="33" s="1"/>
  <c r="G80" i="33" s="1"/>
  <c r="H80" i="33" s="1"/>
  <c r="I80" i="33" s="1"/>
  <c r="J80" i="33" s="1"/>
  <c r="K80" i="33" s="1"/>
  <c r="L80" i="33" s="1"/>
  <c r="M80" i="33" s="1"/>
  <c r="B81" i="33" s="1"/>
  <c r="C81" i="33" s="1"/>
  <c r="D81" i="33" s="1"/>
  <c r="E81" i="33" s="1"/>
  <c r="F81" i="33" s="1"/>
  <c r="G81" i="33" s="1"/>
  <c r="H81" i="33" s="1"/>
  <c r="I81" i="33" s="1"/>
  <c r="J81" i="33" s="1"/>
  <c r="K81" i="33" s="1"/>
  <c r="L81" i="33" s="1"/>
  <c r="M81" i="33" s="1"/>
  <c r="B82" i="33" s="1"/>
  <c r="C82" i="33" s="1"/>
  <c r="D82" i="33" s="1"/>
  <c r="E82" i="33" s="1"/>
  <c r="F82" i="33" s="1"/>
  <c r="G82" i="33" s="1"/>
  <c r="H82" i="33" s="1"/>
  <c r="I82" i="33" s="1"/>
  <c r="J82" i="33" s="1"/>
  <c r="K82" i="33" s="1"/>
  <c r="L82" i="33" s="1"/>
  <c r="M82" i="33" s="1"/>
  <c r="B83" i="33" s="1"/>
  <c r="C83" i="33" s="1"/>
  <c r="D83" i="33" s="1"/>
  <c r="E83" i="33" s="1"/>
  <c r="F83" i="33" s="1"/>
  <c r="G83" i="33" s="1"/>
  <c r="H83" i="33" s="1"/>
  <c r="I83" i="33" s="1"/>
  <c r="J83" i="33" s="1"/>
  <c r="K83" i="33" s="1"/>
  <c r="L83" i="33" s="1"/>
  <c r="M83" i="33" s="1"/>
  <c r="B84" i="33" s="1"/>
  <c r="C84" i="33" s="1"/>
  <c r="D84" i="33" s="1"/>
  <c r="E84" i="33" s="1"/>
  <c r="F84" i="33" s="1"/>
  <c r="G84" i="33" s="1"/>
  <c r="H84" i="33" s="1"/>
  <c r="I84" i="33" s="1"/>
  <c r="J84" i="33" s="1"/>
  <c r="K84" i="33" s="1"/>
  <c r="L84" i="33" s="1"/>
  <c r="M84" i="33" s="1"/>
  <c r="B85" i="33" s="1"/>
  <c r="C85" i="33" s="1"/>
  <c r="D85" i="33" s="1"/>
  <c r="E85" i="33" s="1"/>
  <c r="F85" i="33" s="1"/>
  <c r="G85" i="33" s="1"/>
  <c r="H85" i="33" s="1"/>
  <c r="I85" i="33" s="1"/>
  <c r="J85" i="33" s="1"/>
  <c r="K85" i="33" s="1"/>
  <c r="L85" i="33" s="1"/>
  <c r="M85" i="33" s="1"/>
  <c r="B86" i="33" s="1"/>
  <c r="C86" i="33" s="1"/>
  <c r="D86" i="33" s="1"/>
  <c r="E86" i="33" s="1"/>
  <c r="F86" i="33" s="1"/>
  <c r="G86" i="33" s="1"/>
  <c r="H86" i="33" s="1"/>
  <c r="I86" i="33" s="1"/>
  <c r="J86" i="33" s="1"/>
  <c r="K86" i="33" s="1"/>
  <c r="L86" i="33" s="1"/>
  <c r="M86" i="33" s="1"/>
  <c r="B87" i="33" s="1"/>
  <c r="C87" i="33" s="1"/>
  <c r="D87" i="33" s="1"/>
  <c r="E87" i="33" s="1"/>
  <c r="F87" i="33" s="1"/>
  <c r="G87" i="33" s="1"/>
  <c r="H87" i="33" s="1"/>
  <c r="I87" i="33" s="1"/>
  <c r="J87" i="33" s="1"/>
  <c r="K87" i="33" s="1"/>
  <c r="L87" i="33" s="1"/>
  <c r="M87" i="33" s="1"/>
  <c r="B88" i="33" s="1"/>
  <c r="C88" i="33" s="1"/>
  <c r="D88" i="33" s="1"/>
  <c r="E88" i="33" s="1"/>
  <c r="F88" i="33" s="1"/>
  <c r="G88" i="33" s="1"/>
  <c r="H88" i="33" s="1"/>
  <c r="I88" i="33" s="1"/>
  <c r="J88" i="33" s="1"/>
  <c r="K88" i="33" s="1"/>
  <c r="L88" i="33" s="1"/>
  <c r="M88" i="33" s="1"/>
  <c r="B89" i="33" s="1"/>
  <c r="C89" i="33" s="1"/>
  <c r="D89" i="33" s="1"/>
  <c r="E89" i="33" s="1"/>
  <c r="F89" i="33" s="1"/>
  <c r="G89" i="33" s="1"/>
  <c r="H89" i="33" s="1"/>
  <c r="I89" i="33" s="1"/>
  <c r="J89" i="33" s="1"/>
  <c r="K89" i="33" s="1"/>
  <c r="L89" i="33" s="1"/>
  <c r="M89" i="33" s="1"/>
  <c r="B90" i="33" s="1"/>
  <c r="C90" i="33" s="1"/>
  <c r="D90" i="33" s="1"/>
  <c r="E90" i="33" s="1"/>
  <c r="F90" i="33" s="1"/>
  <c r="G90" i="33" s="1"/>
  <c r="H90" i="33" s="1"/>
  <c r="I90" i="33" s="1"/>
  <c r="J90" i="33" s="1"/>
  <c r="K90" i="33" s="1"/>
  <c r="L90" i="33" s="1"/>
  <c r="M90" i="33" s="1"/>
  <c r="B91" i="33" s="1"/>
  <c r="C91" i="33" s="1"/>
  <c r="D91" i="33" s="1"/>
  <c r="E91" i="33" s="1"/>
  <c r="F91" i="33" s="1"/>
  <c r="G91" i="33" s="1"/>
  <c r="H91" i="33" s="1"/>
  <c r="I91" i="33" s="1"/>
  <c r="J91" i="33" s="1"/>
  <c r="K91" i="33" s="1"/>
  <c r="L91" i="33" s="1"/>
  <c r="M91" i="33" s="1"/>
  <c r="B92" i="33" s="1"/>
  <c r="C92" i="33" s="1"/>
  <c r="D92" i="33" s="1"/>
  <c r="E92" i="33" s="1"/>
  <c r="F92" i="33" s="1"/>
  <c r="G92" i="33" s="1"/>
  <c r="H92" i="33" s="1"/>
  <c r="I92" i="33" s="1"/>
  <c r="J92" i="33" s="1"/>
  <c r="K92" i="33" s="1"/>
  <c r="L92" i="33" s="1"/>
  <c r="M92" i="33" s="1"/>
  <c r="B93" i="33" s="1"/>
  <c r="C93" i="33" s="1"/>
  <c r="D93" i="33" s="1"/>
  <c r="E93" i="33" s="1"/>
  <c r="F93" i="33" s="1"/>
  <c r="G93" i="33" s="1"/>
  <c r="H93" i="33" s="1"/>
  <c r="I93" i="33" s="1"/>
  <c r="J93" i="33" s="1"/>
  <c r="K93" i="33" s="1"/>
  <c r="L93" i="33" s="1"/>
  <c r="M93" i="33" s="1"/>
  <c r="B94" i="33" s="1"/>
  <c r="C94" i="33" s="1"/>
  <c r="D94" i="33" s="1"/>
  <c r="E94" i="33" s="1"/>
  <c r="F94" i="33" s="1"/>
  <c r="G94" i="33" s="1"/>
  <c r="H94" i="33" s="1"/>
  <c r="I94" i="33" s="1"/>
  <c r="J94" i="33" s="1"/>
  <c r="K94" i="33" s="1"/>
  <c r="L94" i="33" s="1"/>
  <c r="M94" i="33" s="1"/>
  <c r="B95" i="33" s="1"/>
  <c r="C95" i="33" s="1"/>
  <c r="D95" i="33" s="1"/>
  <c r="E95" i="33" s="1"/>
  <c r="F95" i="33" s="1"/>
  <c r="G95" i="33" s="1"/>
  <c r="H95" i="33" s="1"/>
  <c r="I95" i="33" s="1"/>
  <c r="J95" i="33" s="1"/>
  <c r="K95" i="33" s="1"/>
  <c r="L95" i="33" s="1"/>
  <c r="M95" i="33" s="1"/>
  <c r="B96" i="33" s="1"/>
  <c r="C96" i="33" s="1"/>
  <c r="D96" i="33" s="1"/>
  <c r="E96" i="33" s="1"/>
  <c r="F96" i="33" s="1"/>
  <c r="G96" i="33" s="1"/>
  <c r="H96" i="33" s="1"/>
  <c r="I96" i="33" s="1"/>
  <c r="J96" i="33" s="1"/>
  <c r="K96" i="33" s="1"/>
  <c r="L96" i="33" s="1"/>
  <c r="M96" i="33" s="1"/>
  <c r="B97" i="33" s="1"/>
  <c r="C97" i="33" s="1"/>
  <c r="D97" i="33" s="1"/>
  <c r="E97" i="33" s="1"/>
  <c r="F97" i="33" s="1"/>
  <c r="G97" i="33" s="1"/>
  <c r="H97" i="33" s="1"/>
  <c r="I97" i="33" s="1"/>
  <c r="J97" i="33" s="1"/>
  <c r="K97" i="33" s="1"/>
  <c r="L97" i="33" s="1"/>
  <c r="M97" i="33" s="1"/>
  <c r="B98" i="33" s="1"/>
  <c r="C98" i="33" s="1"/>
  <c r="D98" i="33" s="1"/>
  <c r="E98" i="33" s="1"/>
  <c r="F98" i="33" s="1"/>
  <c r="G98" i="33" s="1"/>
  <c r="H98" i="33" s="1"/>
  <c r="I98" i="33" s="1"/>
  <c r="J98" i="33" s="1"/>
  <c r="K98" i="33" s="1"/>
  <c r="L98" i="33" s="1"/>
  <c r="M98" i="33" s="1"/>
  <c r="B99" i="33" s="1"/>
  <c r="C99" i="33" s="1"/>
  <c r="D99" i="33" s="1"/>
  <c r="E99" i="33" s="1"/>
  <c r="F99" i="33" s="1"/>
  <c r="G99" i="33" s="1"/>
  <c r="H99" i="33" s="1"/>
  <c r="I99" i="33" s="1"/>
  <c r="J99" i="33" s="1"/>
  <c r="K99" i="33" s="1"/>
  <c r="L99" i="33" s="1"/>
  <c r="M99" i="33" s="1"/>
  <c r="D13" i="20"/>
  <c r="D14" i="20"/>
  <c r="D52" i="20"/>
  <c r="E15" i="20"/>
  <c r="E9" i="20"/>
  <c r="D50" i="20"/>
  <c r="E14" i="20"/>
  <c r="D40" i="20"/>
  <c r="D7" i="20"/>
  <c r="E29" i="20"/>
  <c r="E28" i="20"/>
  <c r="E40" i="20"/>
  <c r="D46" i="20"/>
  <c r="E5" i="20"/>
  <c r="E4" i="20"/>
  <c r="D16" i="20"/>
  <c r="D24" i="20"/>
  <c r="E46" i="20"/>
  <c r="D17" i="20"/>
  <c r="E25" i="20"/>
  <c r="E31" i="20"/>
  <c r="E21" i="20"/>
  <c r="D29" i="20"/>
  <c r="E43" i="20"/>
  <c r="D28" i="20"/>
  <c r="D19" i="20"/>
  <c r="D43" i="20"/>
  <c r="C15" i="33"/>
  <c r="E12" i="20"/>
  <c r="E7" i="20"/>
  <c r="D31" i="20"/>
  <c r="D5" i="20"/>
  <c r="I11" i="33"/>
  <c r="W12" i="33"/>
  <c r="W11" i="33"/>
  <c r="Q13" i="33"/>
  <c r="Q15" i="33"/>
  <c r="D49" i="28"/>
  <c r="C49" i="28"/>
  <c r="D8" i="28"/>
  <c r="C8" i="28"/>
  <c r="D15" i="33" l="1"/>
  <c r="J15" i="33"/>
  <c r="G10" i="2"/>
  <c r="G10" i="25" s="1"/>
  <c r="AI15" i="33"/>
  <c r="B5" i="16"/>
  <c r="G9" i="25"/>
  <c r="E15" i="33"/>
  <c r="H11" i="34"/>
  <c r="H12" i="34" s="1"/>
  <c r="H13" i="34" s="1"/>
  <c r="F15" i="33"/>
  <c r="C4" i="27"/>
  <c r="I13" i="33"/>
  <c r="I15" i="33"/>
  <c r="L14" i="33" s="1"/>
  <c r="L15" i="33" s="1"/>
  <c r="W13" i="33"/>
  <c r="W15" i="33"/>
  <c r="R15" i="33"/>
  <c r="S15" i="33"/>
  <c r="D50" i="28"/>
  <c r="C50" i="28" s="1"/>
  <c r="D9" i="28"/>
  <c r="C9" i="28"/>
  <c r="H11" i="2" l="1"/>
  <c r="H11" i="25"/>
  <c r="C5" i="27"/>
  <c r="F42" i="2"/>
  <c r="F57" i="25"/>
  <c r="F55" i="25"/>
  <c r="F56" i="25"/>
  <c r="F53" i="25"/>
  <c r="F43" i="25"/>
  <c r="F52" i="25"/>
  <c r="F47" i="25"/>
  <c r="F51" i="25"/>
  <c r="F49" i="25"/>
  <c r="F44" i="25"/>
  <c r="F42" i="25"/>
  <c r="F48" i="25"/>
  <c r="F46" i="25"/>
  <c r="F41" i="25"/>
  <c r="C135" i="34"/>
  <c r="E12" i="34"/>
  <c r="F51" i="34"/>
  <c r="E51" i="34" s="1"/>
  <c r="G51" i="34" s="1"/>
  <c r="F53" i="34"/>
  <c r="E53" i="34" s="1"/>
  <c r="G53" i="34" s="1"/>
  <c r="F41" i="34"/>
  <c r="F47" i="34"/>
  <c r="F55" i="34"/>
  <c r="E55" i="34" s="1"/>
  <c r="G55" i="34" s="1"/>
  <c r="F52" i="34"/>
  <c r="E52" i="34" s="1"/>
  <c r="G52" i="34" s="1"/>
  <c r="F48" i="34"/>
  <c r="E48" i="34" s="1"/>
  <c r="G48" i="34" s="1"/>
  <c r="F46" i="34"/>
  <c r="E46" i="34" s="1"/>
  <c r="G46" i="34" s="1"/>
  <c r="F49" i="34"/>
  <c r="E49" i="34" s="1"/>
  <c r="G49" i="34" s="1"/>
  <c r="F57" i="34"/>
  <c r="E57" i="34" s="1"/>
  <c r="G57" i="34" s="1"/>
  <c r="F56" i="34"/>
  <c r="E56" i="34" s="1"/>
  <c r="G56" i="34" s="1"/>
  <c r="F43" i="34"/>
  <c r="E43" i="34" s="1"/>
  <c r="G43" i="34" s="1"/>
  <c r="F42" i="34"/>
  <c r="E42" i="34" s="1"/>
  <c r="G42" i="34" s="1"/>
  <c r="F44" i="34"/>
  <c r="E44" i="34" s="1"/>
  <c r="G44" i="34" s="1"/>
  <c r="F41" i="2"/>
  <c r="E41" i="2" s="1"/>
  <c r="F46" i="2"/>
  <c r="F48" i="2"/>
  <c r="F51" i="2"/>
  <c r="F53" i="2"/>
  <c r="X15" i="33"/>
  <c r="Y15" i="33"/>
  <c r="F49" i="2"/>
  <c r="F52" i="2"/>
  <c r="F43" i="2"/>
  <c r="F57" i="2"/>
  <c r="K15" i="33"/>
  <c r="F47" i="2"/>
  <c r="E47" i="2" s="1"/>
  <c r="F44" i="2"/>
  <c r="F55" i="2"/>
  <c r="F56" i="2"/>
  <c r="D51" i="28"/>
  <c r="C51" i="28" s="1"/>
  <c r="D10" i="28"/>
  <c r="C10" i="28" s="1"/>
  <c r="G58" i="34" l="1"/>
  <c r="G67" i="2"/>
  <c r="H67" i="2" s="1"/>
  <c r="G67" i="34"/>
  <c r="H67" i="34" s="1"/>
  <c r="D52" i="28"/>
  <c r="C52" i="28" s="1"/>
  <c r="D11" i="28"/>
  <c r="C11" i="28" s="1"/>
  <c r="H115" i="34" l="1"/>
  <c r="E126" i="34"/>
  <c r="H59" i="34"/>
  <c r="H61" i="34" s="1"/>
  <c r="G59" i="34"/>
  <c r="D53" i="28"/>
  <c r="C53" i="28"/>
  <c r="D12" i="28"/>
  <c r="C12" i="28"/>
  <c r="E125" i="34" l="1"/>
  <c r="H63" i="34"/>
  <c r="H117" i="34" s="1"/>
  <c r="D54" i="28"/>
  <c r="C54" i="28"/>
  <c r="D13" i="28"/>
  <c r="C13" i="28"/>
  <c r="E129" i="34" l="1"/>
  <c r="H122" i="34"/>
  <c r="D131" i="34" s="1"/>
  <c r="E131" i="34" s="1"/>
  <c r="D55" i="28"/>
  <c r="C55" i="28" s="1"/>
  <c r="D14" i="28"/>
  <c r="C14" i="28" s="1"/>
  <c r="C177" i="34" l="1"/>
  <c r="D132" i="34"/>
  <c r="E132" i="34" s="1"/>
  <c r="C176" i="34"/>
  <c r="D130" i="34"/>
  <c r="E130" i="34" s="1"/>
  <c r="D56" i="28"/>
  <c r="C56" i="28" s="1"/>
  <c r="D15" i="28"/>
  <c r="C15" i="28"/>
  <c r="E134" i="34" l="1"/>
  <c r="D135" i="34" s="1"/>
  <c r="E135" i="34" s="1"/>
  <c r="H124" i="34" s="1"/>
  <c r="D167" i="34" s="1"/>
  <c r="E167" i="34" s="1"/>
  <c r="D57" i="28"/>
  <c r="C57" i="28"/>
  <c r="D16" i="28"/>
  <c r="C16" i="28"/>
  <c r="D145" i="34" l="1"/>
  <c r="E145" i="34" s="1"/>
  <c r="D143" i="34"/>
  <c r="E143" i="34" s="1"/>
  <c r="D160" i="34"/>
  <c r="E160" i="34" s="1"/>
  <c r="H160" i="34" s="1"/>
  <c r="D162" i="34" s="1"/>
  <c r="E162" i="34" s="1"/>
  <c r="H162" i="34" s="1"/>
  <c r="D138" i="34"/>
  <c r="E138" i="34" s="1"/>
  <c r="D140" i="34" s="1"/>
  <c r="E140" i="34" s="1"/>
  <c r="H137" i="34" s="1"/>
  <c r="G166" i="34"/>
  <c r="H164" i="34"/>
  <c r="G164" i="34" s="1"/>
  <c r="D58" i="28"/>
  <c r="C58" i="28"/>
  <c r="D17" i="28"/>
  <c r="C17" i="28"/>
  <c r="H142" i="34" l="1"/>
  <c r="G142" i="34" s="1"/>
  <c r="G137" i="34"/>
  <c r="D59" i="28"/>
  <c r="C59" i="28"/>
  <c r="D18" i="28"/>
  <c r="C18" i="28"/>
  <c r="H174" i="34" l="1"/>
  <c r="C179" i="34" s="1"/>
  <c r="D60" i="28"/>
  <c r="C60" i="28"/>
  <c r="D19" i="28"/>
  <c r="C19" i="28"/>
  <c r="H6" i="34" l="1"/>
  <c r="G14" i="34"/>
  <c r="H14" i="34"/>
  <c r="C178" i="34"/>
  <c r="D61" i="28"/>
  <c r="C61" i="28" s="1"/>
  <c r="D20" i="28"/>
  <c r="C20" i="28" s="1"/>
  <c r="D62" i="28" l="1"/>
  <c r="C62" i="28"/>
  <c r="D21" i="28"/>
  <c r="C21" i="28"/>
  <c r="D63" i="28" l="1"/>
  <c r="C63" i="28" s="1"/>
  <c r="D22" i="28"/>
  <c r="C22" i="28"/>
  <c r="D64" i="28" l="1"/>
  <c r="C64" i="28" s="1"/>
  <c r="D23" i="28"/>
  <c r="C23" i="28"/>
  <c r="D65" i="28" l="1"/>
  <c r="C65" i="28"/>
  <c r="D24" i="28"/>
  <c r="C24" i="28"/>
  <c r="D66" i="28" l="1"/>
  <c r="C66" i="28"/>
  <c r="C5" i="29" s="1"/>
  <c r="D25" i="28"/>
  <c r="C25" i="28" s="1"/>
  <c r="D67" i="28" l="1"/>
  <c r="C67" i="28" s="1"/>
  <c r="D26" i="28"/>
  <c r="C26" i="28"/>
  <c r="D68" i="28" l="1"/>
  <c r="C68" i="28" s="1"/>
  <c r="D27" i="28"/>
  <c r="C27" i="28"/>
  <c r="D69" i="28" l="1"/>
  <c r="C69" i="28"/>
  <c r="D28" i="28"/>
  <c r="C28" i="28"/>
  <c r="D70" i="28" l="1"/>
  <c r="C70" i="28" s="1"/>
  <c r="D29" i="28"/>
  <c r="C29" i="28"/>
  <c r="D71" i="28" l="1"/>
  <c r="C71" i="28"/>
  <c r="D30" i="28"/>
  <c r="C30" i="28" s="1"/>
  <c r="D72" i="28" l="1"/>
  <c r="C72" i="28"/>
  <c r="D31" i="28"/>
  <c r="C31" i="28"/>
  <c r="D73" i="28" l="1"/>
  <c r="C73" i="28"/>
  <c r="D32" i="28"/>
  <c r="C32" i="28" s="1"/>
  <c r="D74" i="28" l="1"/>
  <c r="C74" i="28"/>
  <c r="D33" i="28"/>
  <c r="C33" i="28"/>
  <c r="D75" i="28" l="1"/>
  <c r="C75" i="28"/>
  <c r="D34" i="28"/>
  <c r="C34" i="28"/>
  <c r="D76" i="28" l="1"/>
  <c r="C76" i="28"/>
  <c r="D35" i="28"/>
  <c r="C35" i="28"/>
  <c r="D77" i="28" l="1"/>
  <c r="C77" i="28" s="1"/>
  <c r="D36" i="28"/>
  <c r="C36" i="28"/>
  <c r="D78" i="28" l="1"/>
  <c r="C78" i="28"/>
  <c r="D37" i="28"/>
  <c r="C37" i="28" s="1"/>
  <c r="D79" i="28" l="1"/>
  <c r="C79" i="28" s="1"/>
  <c r="D38" i="28"/>
  <c r="C38" i="28"/>
  <c r="D80" i="28" l="1"/>
  <c r="C80" i="28"/>
  <c r="D39" i="28"/>
  <c r="C39" i="28"/>
  <c r="D81" i="28" l="1"/>
  <c r="C81" i="28"/>
  <c r="D40" i="28"/>
  <c r="C40" i="28"/>
  <c r="D82" i="28" l="1"/>
  <c r="C82" i="28"/>
  <c r="D41" i="28"/>
  <c r="C41" i="28" s="1"/>
  <c r="D83" i="28" l="1"/>
  <c r="C83" i="28" s="1"/>
  <c r="D42" i="28"/>
  <c r="C42" i="28" s="1"/>
  <c r="D84" i="28" l="1"/>
  <c r="C84" i="28" s="1"/>
  <c r="D43" i="28"/>
  <c r="C43" i="28"/>
  <c r="D85" i="28" l="1"/>
  <c r="C85" i="28" s="1"/>
  <c r="D44" i="28"/>
  <c r="C44" i="28" s="1"/>
  <c r="I31" i="4"/>
  <c r="I30" i="4"/>
  <c r="I29" i="4"/>
  <c r="I28" i="4"/>
  <c r="J27" i="4"/>
  <c r="J25" i="4"/>
  <c r="I26" i="4"/>
  <c r="J22" i="4"/>
  <c r="J21" i="4"/>
  <c r="J17" i="4"/>
  <c r="J16" i="4"/>
  <c r="J8" i="4"/>
  <c r="J7" i="4"/>
  <c r="H1" i="25"/>
  <c r="B5" i="27"/>
  <c r="B4" i="27"/>
  <c r="D86" i="28" l="1"/>
  <c r="C86" i="28"/>
  <c r="D45" i="28"/>
  <c r="C45" i="28"/>
  <c r="D87" i="28" l="1"/>
  <c r="C87" i="28"/>
  <c r="D46" i="28"/>
  <c r="C46" i="28" s="1"/>
  <c r="A186" i="25"/>
  <c r="A185" i="25"/>
  <c r="A184" i="25"/>
  <c r="A183" i="25"/>
  <c r="A182" i="25"/>
  <c r="E171" i="25"/>
  <c r="E170" i="25"/>
  <c r="E169" i="25"/>
  <c r="E168" i="25"/>
  <c r="C167" i="25"/>
  <c r="C162" i="25"/>
  <c r="C160" i="25"/>
  <c r="E158" i="25"/>
  <c r="E156" i="25"/>
  <c r="E155" i="25"/>
  <c r="E154" i="25"/>
  <c r="C152" i="25"/>
  <c r="E151" i="25"/>
  <c r="E150" i="25"/>
  <c r="E149" i="25"/>
  <c r="E148" i="25"/>
  <c r="E147" i="25"/>
  <c r="E146" i="25"/>
  <c r="E144" i="25"/>
  <c r="C145" i="25"/>
  <c r="C143" i="25"/>
  <c r="C140" i="25"/>
  <c r="E139" i="25"/>
  <c r="C139" i="25" s="1"/>
  <c r="C138" i="25"/>
  <c r="C132" i="25"/>
  <c r="C130" i="25"/>
  <c r="F119" i="25"/>
  <c r="G70" i="25"/>
  <c r="B112" i="25"/>
  <c r="B111" i="25"/>
  <c r="B110" i="25"/>
  <c r="B109" i="25"/>
  <c r="B108" i="25"/>
  <c r="B107" i="25"/>
  <c r="B103" i="25"/>
  <c r="B102" i="25"/>
  <c r="B101" i="25"/>
  <c r="B100" i="25"/>
  <c r="B99" i="25"/>
  <c r="B98" i="25"/>
  <c r="B97" i="25"/>
  <c r="B96" i="25"/>
  <c r="B95" i="25"/>
  <c r="B94" i="25"/>
  <c r="B93" i="25"/>
  <c r="B92" i="25"/>
  <c r="B91" i="25"/>
  <c r="B90" i="25"/>
  <c r="B89" i="25"/>
  <c r="B88" i="25"/>
  <c r="B87" i="25"/>
  <c r="B86" i="25"/>
  <c r="B85" i="25"/>
  <c r="B84" i="25"/>
  <c r="B83" i="25"/>
  <c r="B82" i="25"/>
  <c r="B81" i="25"/>
  <c r="B80" i="25"/>
  <c r="B79" i="25"/>
  <c r="B78" i="25"/>
  <c r="B77" i="25"/>
  <c r="B76" i="25"/>
  <c r="B75" i="25"/>
  <c r="B74" i="25"/>
  <c r="B73" i="25"/>
  <c r="B72" i="25"/>
  <c r="B71" i="25"/>
  <c r="B70" i="25"/>
  <c r="F112" i="25"/>
  <c r="F111" i="25"/>
  <c r="F110" i="25"/>
  <c r="F109" i="25"/>
  <c r="F108" i="25"/>
  <c r="F107"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7" i="25"/>
  <c r="E108" i="25"/>
  <c r="E109" i="25"/>
  <c r="E110" i="25"/>
  <c r="E111" i="25"/>
  <c r="E112"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7" i="25"/>
  <c r="G108" i="25"/>
  <c r="G109" i="25"/>
  <c r="G110" i="25"/>
  <c r="G111" i="25"/>
  <c r="G112" i="25"/>
  <c r="E119" i="25"/>
  <c r="G119" i="25"/>
  <c r="F67" i="25"/>
  <c r="E67" i="25"/>
  <c r="D57" i="25"/>
  <c r="D56" i="25"/>
  <c r="D55" i="25"/>
  <c r="D53" i="25"/>
  <c r="D52" i="25"/>
  <c r="D51" i="25"/>
  <c r="D49" i="25"/>
  <c r="D48" i="25"/>
  <c r="D47" i="25"/>
  <c r="D46" i="25"/>
  <c r="D44" i="25"/>
  <c r="D43" i="25"/>
  <c r="D42" i="25"/>
  <c r="C57" i="25"/>
  <c r="B57" i="25"/>
  <c r="C56" i="25"/>
  <c r="B56" i="25"/>
  <c r="C55" i="25"/>
  <c r="B55" i="25"/>
  <c r="C53" i="25"/>
  <c r="B53" i="25"/>
  <c r="C52" i="25"/>
  <c r="B52" i="25"/>
  <c r="C51" i="25"/>
  <c r="B51" i="25"/>
  <c r="C49" i="25"/>
  <c r="B49" i="25"/>
  <c r="C48" i="25"/>
  <c r="B48" i="25"/>
  <c r="C47" i="25"/>
  <c r="B47" i="25"/>
  <c r="C46" i="25"/>
  <c r="B46" i="25"/>
  <c r="C44" i="25"/>
  <c r="B44" i="25"/>
  <c r="C43" i="25"/>
  <c r="B43" i="25"/>
  <c r="C42" i="25"/>
  <c r="B42" i="25"/>
  <c r="D41" i="25"/>
  <c r="B41" i="25"/>
  <c r="E36" i="25"/>
  <c r="E35" i="25"/>
  <c r="E34" i="25"/>
  <c r="E33" i="25"/>
  <c r="E32" i="25"/>
  <c r="E31" i="25"/>
  <c r="E30" i="25"/>
  <c r="E24" i="25"/>
  <c r="E22" i="25"/>
  <c r="E21" i="25"/>
  <c r="E19" i="25"/>
  <c r="C36" i="25"/>
  <c r="B36" i="25"/>
  <c r="D36" i="25" s="1"/>
  <c r="A36" i="25"/>
  <c r="C35" i="25"/>
  <c r="B35" i="25"/>
  <c r="D35" i="25" s="1"/>
  <c r="A35" i="25"/>
  <c r="C34" i="25"/>
  <c r="B34" i="25"/>
  <c r="D34" i="25" s="1"/>
  <c r="A34" i="25"/>
  <c r="C33" i="25"/>
  <c r="B33" i="25"/>
  <c r="D33" i="25" s="1"/>
  <c r="A33" i="25"/>
  <c r="C32" i="25"/>
  <c r="B32" i="25"/>
  <c r="A32" i="25"/>
  <c r="C31" i="25"/>
  <c r="B31" i="25"/>
  <c r="A31" i="25"/>
  <c r="C30" i="25"/>
  <c r="B30" i="25"/>
  <c r="A30" i="25"/>
  <c r="C24" i="25"/>
  <c r="B24" i="25"/>
  <c r="D24" i="25" s="1"/>
  <c r="A24" i="25"/>
  <c r="C22" i="25"/>
  <c r="B22" i="25"/>
  <c r="A22" i="25"/>
  <c r="C21" i="25"/>
  <c r="B21" i="25"/>
  <c r="A21" i="25"/>
  <c r="C19" i="25"/>
  <c r="B19" i="25"/>
  <c r="A19" i="25"/>
  <c r="E18" i="25"/>
  <c r="C18" i="25"/>
  <c r="B18" i="25"/>
  <c r="A18" i="25"/>
  <c r="B121" i="25"/>
  <c r="A112" i="25"/>
  <c r="A111" i="25"/>
  <c r="A110" i="25"/>
  <c r="A109" i="25"/>
  <c r="A108" i="25"/>
  <c r="A107" i="25"/>
  <c r="A103" i="25"/>
  <c r="A102" i="25"/>
  <c r="A101" i="25"/>
  <c r="A100" i="25"/>
  <c r="A99" i="25"/>
  <c r="A98" i="25"/>
  <c r="A97" i="25"/>
  <c r="A96" i="25"/>
  <c r="A95" i="25"/>
  <c r="A94" i="25"/>
  <c r="A93" i="25"/>
  <c r="A92" i="25"/>
  <c r="A91" i="25"/>
  <c r="A90" i="25"/>
  <c r="A89" i="25"/>
  <c r="A88" i="25"/>
  <c r="A87" i="25"/>
  <c r="A86" i="25"/>
  <c r="A85" i="25"/>
  <c r="A84" i="25"/>
  <c r="A83" i="25"/>
  <c r="A82" i="25"/>
  <c r="A81" i="25"/>
  <c r="A80" i="25"/>
  <c r="A79" i="25"/>
  <c r="A78" i="25"/>
  <c r="A77" i="25"/>
  <c r="A76" i="25"/>
  <c r="A75" i="25"/>
  <c r="A74" i="25"/>
  <c r="A73" i="25"/>
  <c r="A72" i="25"/>
  <c r="A71" i="25"/>
  <c r="A70" i="25"/>
  <c r="C41" i="25"/>
  <c r="B14" i="25"/>
  <c r="B15" i="32" s="1"/>
  <c r="H10" i="25"/>
  <c r="H11" i="32" s="1"/>
  <c r="H9" i="25"/>
  <c r="A122" i="25"/>
  <c r="A121" i="25"/>
  <c r="A63" i="25"/>
  <c r="A62" i="25"/>
  <c r="A1" i="21"/>
  <c r="A1" i="20"/>
  <c r="H1" i="2"/>
  <c r="H1" i="4"/>
  <c r="H90" i="25" l="1"/>
  <c r="H108" i="25"/>
  <c r="H89" i="25"/>
  <c r="H73" i="25"/>
  <c r="D32" i="25"/>
  <c r="D31" i="25"/>
  <c r="D30" i="25"/>
  <c r="G30" i="25" s="1"/>
  <c r="D22" i="25"/>
  <c r="G22" i="25" s="1"/>
  <c r="D21" i="25"/>
  <c r="D19" i="25"/>
  <c r="G19" i="25" s="1"/>
  <c r="D18" i="25"/>
  <c r="G18" i="25" s="1"/>
  <c r="H9" i="32"/>
  <c r="E165" i="25"/>
  <c r="H91" i="25"/>
  <c r="H75" i="25"/>
  <c r="H97" i="25"/>
  <c r="H81" i="25"/>
  <c r="G36" i="25"/>
  <c r="G24" i="25"/>
  <c r="H107" i="25"/>
  <c r="H88" i="25"/>
  <c r="H72" i="25"/>
  <c r="H103" i="25"/>
  <c r="H87" i="25"/>
  <c r="H71" i="25"/>
  <c r="H70" i="25"/>
  <c r="H102" i="25"/>
  <c r="H86" i="25"/>
  <c r="H112" i="25"/>
  <c r="H96" i="25"/>
  <c r="H80" i="25"/>
  <c r="H101" i="25"/>
  <c r="H85" i="25"/>
  <c r="H111" i="25"/>
  <c r="H119" i="25"/>
  <c r="H100" i="25"/>
  <c r="H84" i="25"/>
  <c r="H94" i="25"/>
  <c r="H78" i="25"/>
  <c r="H92" i="25"/>
  <c r="H79" i="25"/>
  <c r="G34" i="25"/>
  <c r="G35" i="25"/>
  <c r="H95" i="25"/>
  <c r="H110" i="25"/>
  <c r="H93" i="25"/>
  <c r="H77" i="25"/>
  <c r="H109" i="25"/>
  <c r="H76" i="25"/>
  <c r="G33" i="25"/>
  <c r="D88" i="28"/>
  <c r="C88" i="28" s="1"/>
  <c r="D47" i="28"/>
  <c r="C47" i="28"/>
  <c r="H10" i="32"/>
  <c r="E10" i="25"/>
  <c r="G153" i="25"/>
  <c r="H74" i="25"/>
  <c r="H82" i="25"/>
  <c r="H98" i="25"/>
  <c r="H83" i="25"/>
  <c r="H99" i="25"/>
  <c r="G21" i="25"/>
  <c r="B37" i="25"/>
  <c r="G31" i="25"/>
  <c r="B25" i="25"/>
  <c r="B62" i="25"/>
  <c r="H9" i="4"/>
  <c r="D37" i="25" l="1"/>
  <c r="D25" i="25"/>
  <c r="G32" i="25"/>
  <c r="G37" i="25" s="1"/>
  <c r="H37" i="25" s="1"/>
  <c r="D152" i="25"/>
  <c r="E152" i="25" s="1"/>
  <c r="H37" i="32"/>
  <c r="E133" i="25"/>
  <c r="H26" i="32"/>
  <c r="D49" i="32" s="1"/>
  <c r="H113" i="25"/>
  <c r="E128" i="25" s="1"/>
  <c r="H104" i="25"/>
  <c r="E127" i="25" s="1"/>
  <c r="D89" i="28"/>
  <c r="C89" i="28"/>
  <c r="G25" i="25"/>
  <c r="H26" i="25" s="1"/>
  <c r="D90" i="28" l="1"/>
  <c r="C90" i="28"/>
  <c r="H3" i="25"/>
  <c r="H3" i="32" s="1"/>
  <c r="D91" i="28" l="1"/>
  <c r="C91" i="28"/>
  <c r="D92" i="28" s="1"/>
  <c r="C92" i="28" s="1"/>
  <c r="E10" i="2"/>
  <c r="H11" i="4"/>
  <c r="D93" i="28" l="1"/>
  <c r="C93" i="28"/>
  <c r="A5" i="22"/>
  <c r="B5" i="22" s="1"/>
  <c r="D94" i="28" l="1"/>
  <c r="C94" i="28"/>
  <c r="D95" i="28" s="1"/>
  <c r="C95" i="28" s="1"/>
  <c r="D96" i="28" s="1"/>
  <c r="C96" i="28" s="1"/>
  <c r="D97" i="28" s="1"/>
  <c r="C97" i="28" s="1"/>
  <c r="B16" i="22"/>
  <c r="B14" i="22"/>
  <c r="D4" i="22"/>
  <c r="A4" i="22"/>
  <c r="B4" i="22" s="1"/>
  <c r="A6" i="22" s="1"/>
  <c r="C2" i="22"/>
  <c r="C1" i="22"/>
  <c r="D98" i="28" l="1"/>
  <c r="C98" i="28"/>
  <c r="G153" i="2"/>
  <c r="I16" i="4" l="1"/>
  <c r="A33" i="16"/>
  <c r="D99" i="28"/>
  <c r="C99" i="28"/>
  <c r="D33" i="16"/>
  <c r="D33" i="22"/>
  <c r="A33" i="22"/>
  <c r="B14" i="16"/>
  <c r="B16" i="16"/>
  <c r="D100" i="28" l="1"/>
  <c r="C100" i="28"/>
  <c r="E165" i="2"/>
  <c r="D101" i="28" l="1"/>
  <c r="C101" i="28"/>
  <c r="D152" i="2"/>
  <c r="E152" i="2" s="1"/>
  <c r="L16" i="4" s="1"/>
  <c r="H37" i="4"/>
  <c r="D102" i="28" l="1"/>
  <c r="C102" i="28"/>
  <c r="D103" i="28" s="1"/>
  <c r="C103" i="28" s="1"/>
  <c r="C2" i="16"/>
  <c r="C1" i="16"/>
  <c r="D104" i="28" l="1"/>
  <c r="C104" i="28"/>
  <c r="A4" i="16"/>
  <c r="AH14" i="33" l="1"/>
  <c r="B4" i="16"/>
  <c r="A6" i="16" s="1"/>
  <c r="AH11" i="33"/>
  <c r="AH12" i="33"/>
  <c r="D105" i="28"/>
  <c r="C105" i="28"/>
  <c r="D106" i="28" s="1"/>
  <c r="C106" i="28" s="1"/>
  <c r="D107" i="28" s="1"/>
  <c r="C107" i="28" s="1"/>
  <c r="C139" i="2"/>
  <c r="D18" i="2"/>
  <c r="G18" i="2" s="1"/>
  <c r="D19" i="2"/>
  <c r="G19" i="2" s="1"/>
  <c r="D20" i="2"/>
  <c r="G20" i="2" s="1"/>
  <c r="D21" i="2"/>
  <c r="G21" i="2" s="1"/>
  <c r="D22" i="2"/>
  <c r="G22" i="2" s="1"/>
  <c r="D23" i="2"/>
  <c r="G23" i="2" s="1"/>
  <c r="D24" i="2"/>
  <c r="G24" i="2" s="1"/>
  <c r="D30" i="2"/>
  <c r="G30" i="2" s="1"/>
  <c r="D31" i="2"/>
  <c r="G31" i="2" s="1"/>
  <c r="D32" i="2"/>
  <c r="G32" i="2" s="1"/>
  <c r="D33" i="2"/>
  <c r="G33" i="2" s="1"/>
  <c r="D34" i="2"/>
  <c r="G34" i="2" s="1"/>
  <c r="D35" i="2"/>
  <c r="G35" i="2" s="1"/>
  <c r="D36" i="2"/>
  <c r="G36" i="2" s="1"/>
  <c r="H3" i="4"/>
  <c r="B121" i="2"/>
  <c r="B62" i="2"/>
  <c r="B25" i="2"/>
  <c r="B37" i="2"/>
  <c r="B15" i="4"/>
  <c r="AH13" i="33" l="1"/>
  <c r="AH15" i="33"/>
  <c r="AK15" i="33" s="1"/>
  <c r="D108" i="28"/>
  <c r="C108" i="28"/>
  <c r="H26" i="4"/>
  <c r="D49" i="4" s="1"/>
  <c r="I9" i="4"/>
  <c r="B9" i="2"/>
  <c r="I4" i="4"/>
  <c r="E133" i="2"/>
  <c r="A12" i="16" s="1"/>
  <c r="D25" i="2"/>
  <c r="B10" i="2" s="1"/>
  <c r="D37" i="2"/>
  <c r="B13" i="2" s="1"/>
  <c r="B13" i="25" s="1"/>
  <c r="G37" i="2"/>
  <c r="H37" i="2" s="1"/>
  <c r="G25" i="2"/>
  <c r="H26" i="2" s="1"/>
  <c r="AJ15" i="33" l="1"/>
  <c r="D109" i="28"/>
  <c r="C109" i="28"/>
  <c r="D110" i="28" s="1"/>
  <c r="C110" i="28" s="1"/>
  <c r="C14" i="25"/>
  <c r="C15" i="32" s="1"/>
  <c r="B14" i="32"/>
  <c r="E128" i="2"/>
  <c r="I5" i="4"/>
  <c r="I15" i="4"/>
  <c r="B9" i="4"/>
  <c r="B9" i="25"/>
  <c r="B9" i="32" s="1"/>
  <c r="B10" i="4"/>
  <c r="B10" i="25"/>
  <c r="B10" i="32" s="1"/>
  <c r="B14" i="4"/>
  <c r="C14" i="2"/>
  <c r="C15" i="4" s="1"/>
  <c r="A12" i="22"/>
  <c r="D12" i="22"/>
  <c r="D12" i="16"/>
  <c r="E127" i="2"/>
  <c r="C10" i="2"/>
  <c r="C10" i="4" s="1"/>
  <c r="D111" i="28" l="1"/>
  <c r="C111" i="28" s="1"/>
  <c r="D112" i="28" s="1"/>
  <c r="C112" i="28" s="1"/>
  <c r="D113" i="28" s="1"/>
  <c r="C113" i="28" s="1"/>
  <c r="D114" i="28" s="1"/>
  <c r="C114" i="28" s="1"/>
  <c r="C10" i="25"/>
  <c r="C10" i="32" s="1"/>
  <c r="D115" i="28" l="1"/>
  <c r="C115" i="28"/>
  <c r="E44" i="2"/>
  <c r="E57" i="2"/>
  <c r="E52" i="2"/>
  <c r="E53" i="2"/>
  <c r="E55" i="2"/>
  <c r="E56" i="2"/>
  <c r="E51" i="2"/>
  <c r="H10" i="4"/>
  <c r="E42" i="2"/>
  <c r="E48" i="2"/>
  <c r="E49" i="2"/>
  <c r="E43" i="2"/>
  <c r="E46" i="2"/>
  <c r="D116" i="28" l="1"/>
  <c r="C116" i="28"/>
  <c r="G43" i="2"/>
  <c r="E43" i="25"/>
  <c r="G43" i="25" s="1"/>
  <c r="G55" i="2"/>
  <c r="E55" i="25"/>
  <c r="G55" i="25" s="1"/>
  <c r="G49" i="2"/>
  <c r="E49" i="25"/>
  <c r="G49" i="25" s="1"/>
  <c r="G47" i="2"/>
  <c r="E47" i="25"/>
  <c r="G47" i="25" s="1"/>
  <c r="G53" i="2"/>
  <c r="E53" i="25"/>
  <c r="G53" i="25" s="1"/>
  <c r="G42" i="2"/>
  <c r="E42" i="25"/>
  <c r="G42" i="25" s="1"/>
  <c r="G52" i="2"/>
  <c r="E52" i="25"/>
  <c r="G52" i="25" s="1"/>
  <c r="G48" i="2"/>
  <c r="E48" i="25"/>
  <c r="G48" i="25" s="1"/>
  <c r="G57" i="2"/>
  <c r="E57" i="25"/>
  <c r="G57" i="25" s="1"/>
  <c r="G44" i="2"/>
  <c r="E44" i="25"/>
  <c r="G44" i="25" s="1"/>
  <c r="G51" i="2"/>
  <c r="E51" i="25"/>
  <c r="G51" i="25" s="1"/>
  <c r="G67" i="25"/>
  <c r="H67" i="25" s="1"/>
  <c r="G41" i="2"/>
  <c r="E41" i="25"/>
  <c r="G41" i="25" s="1"/>
  <c r="G46" i="2"/>
  <c r="E46" i="25"/>
  <c r="G46" i="25" s="1"/>
  <c r="G56" i="2"/>
  <c r="E56" i="25"/>
  <c r="G56" i="25" s="1"/>
  <c r="D117" i="28" l="1"/>
  <c r="C117" i="28"/>
  <c r="E126" i="2"/>
  <c r="H115" i="2"/>
  <c r="I3" i="4"/>
  <c r="G58" i="2"/>
  <c r="G59" i="2" s="1"/>
  <c r="E126" i="25"/>
  <c r="H115" i="25"/>
  <c r="G58" i="25"/>
  <c r="D118" i="28" l="1"/>
  <c r="C118" i="28"/>
  <c r="D119" i="28" s="1"/>
  <c r="C119" i="28" s="1"/>
  <c r="I6" i="4"/>
  <c r="I8" i="4" s="1"/>
  <c r="H59" i="2"/>
  <c r="H61" i="2" s="1"/>
  <c r="H63" i="2" s="1"/>
  <c r="H117" i="2" s="1"/>
  <c r="H59" i="25"/>
  <c r="H61" i="25" s="1"/>
  <c r="G59" i="25"/>
  <c r="E125" i="2" l="1"/>
  <c r="D120" i="28"/>
  <c r="C120" i="28"/>
  <c r="I7" i="4"/>
  <c r="I2" i="4"/>
  <c r="I10" i="4"/>
  <c r="H63" i="25"/>
  <c r="H117" i="25" s="1"/>
  <c r="E125" i="25"/>
  <c r="H122" i="2"/>
  <c r="D131" i="2" s="1"/>
  <c r="E131" i="2" s="1"/>
  <c r="E129" i="2"/>
  <c r="A11" i="16" s="1"/>
  <c r="A13" i="16" s="1"/>
  <c r="D15" i="16" l="1"/>
  <c r="A15" i="16"/>
  <c r="A15" i="22"/>
  <c r="D15" i="22"/>
  <c r="D121" i="28"/>
  <c r="C121" i="28"/>
  <c r="H122" i="25"/>
  <c r="D131" i="25" s="1"/>
  <c r="E131" i="25" s="1"/>
  <c r="E129" i="25"/>
  <c r="D11" i="22"/>
  <c r="D13" i="22" s="1"/>
  <c r="A11" i="22"/>
  <c r="A13" i="22" s="1"/>
  <c r="D11" i="16"/>
  <c r="D13" i="16" s="1"/>
  <c r="C177" i="2"/>
  <c r="D130" i="2"/>
  <c r="C176" i="2"/>
  <c r="D132" i="2"/>
  <c r="E132" i="2" s="1"/>
  <c r="A16" i="22" l="1"/>
  <c r="A16" i="16"/>
  <c r="E130" i="2"/>
  <c r="D14" i="22" s="1"/>
  <c r="D122" i="28"/>
  <c r="C122" i="28"/>
  <c r="C18" i="4"/>
  <c r="C17" i="4"/>
  <c r="D130" i="25"/>
  <c r="E130" i="25" s="1"/>
  <c r="C176" i="25"/>
  <c r="C17" i="32" s="1"/>
  <c r="D132" i="25"/>
  <c r="E132" i="25" s="1"/>
  <c r="C177" i="25"/>
  <c r="C18" i="32" s="1"/>
  <c r="D16" i="22"/>
  <c r="D16" i="16"/>
  <c r="D14" i="16" l="1"/>
  <c r="E134" i="2"/>
  <c r="D135" i="2" s="1"/>
  <c r="A14" i="22"/>
  <c r="A14" i="16"/>
  <c r="D123" i="28"/>
  <c r="C123" i="28"/>
  <c r="E134" i="25"/>
  <c r="D135" i="25" s="1"/>
  <c r="E135" i="25" s="1"/>
  <c r="H124" i="25" s="1"/>
  <c r="H24" i="32" s="1"/>
  <c r="D17" i="22" l="1"/>
  <c r="A17" i="22"/>
  <c r="A17" i="16"/>
  <c r="D17" i="16"/>
  <c r="D124" i="28"/>
  <c r="C124" i="28"/>
  <c r="D145" i="25"/>
  <c r="E145" i="25" s="1"/>
  <c r="D160" i="25"/>
  <c r="E160" i="25" s="1"/>
  <c r="H160" i="25" s="1"/>
  <c r="H32" i="32" s="1"/>
  <c r="D167" i="25"/>
  <c r="E167" i="25" s="1"/>
  <c r="G166" i="25" s="1"/>
  <c r="H38" i="32" s="1"/>
  <c r="D138" i="25"/>
  <c r="E138" i="25" s="1"/>
  <c r="D140" i="25" s="1"/>
  <c r="E140" i="25" s="1"/>
  <c r="H137" i="25" s="1"/>
  <c r="D143" i="25"/>
  <c r="E143" i="25" s="1"/>
  <c r="I50" i="4"/>
  <c r="D125" i="28" l="1"/>
  <c r="C125" i="28"/>
  <c r="H164" i="25"/>
  <c r="H52" i="32" s="1"/>
  <c r="D162" i="25"/>
  <c r="E162" i="25" s="1"/>
  <c r="H162" i="25" s="1"/>
  <c r="H34" i="32" s="1"/>
  <c r="H49" i="32"/>
  <c r="H29" i="32"/>
  <c r="I51" i="4"/>
  <c r="G137" i="25"/>
  <c r="I49" i="4"/>
  <c r="H142" i="25"/>
  <c r="D126" i="28" l="1"/>
  <c r="C126" i="28"/>
  <c r="D127" i="28" s="1"/>
  <c r="C127" i="28" s="1"/>
  <c r="H36" i="32"/>
  <c r="G164" i="25"/>
  <c r="I52" i="4"/>
  <c r="I48" i="4"/>
  <c r="G142" i="25"/>
  <c r="H30" i="32"/>
  <c r="H28" i="32"/>
  <c r="H174" i="25"/>
  <c r="D128" i="28" l="1"/>
  <c r="C128" i="28"/>
  <c r="D129" i="28" s="1"/>
  <c r="C129" i="28" s="1"/>
  <c r="B3" i="27"/>
  <c r="C3" i="29"/>
  <c r="C6" i="29" s="1"/>
  <c r="C7" i="29" s="1"/>
  <c r="H6" i="25"/>
  <c r="H6" i="32" s="1"/>
  <c r="C179" i="25"/>
  <c r="C20" i="32" s="1"/>
  <c r="C178" i="25"/>
  <c r="I54" i="4"/>
  <c r="D130" i="28" l="1"/>
  <c r="C130" i="28"/>
  <c r="B6" i="27"/>
  <c r="D131" i="28" l="1"/>
  <c r="C131" i="28"/>
  <c r="H12" i="32"/>
  <c r="H12" i="4"/>
  <c r="D132" i="28" l="1"/>
  <c r="C132" i="28"/>
  <c r="H12" i="2"/>
  <c r="D133" i="28" l="1"/>
  <c r="C133" i="28"/>
  <c r="H13" i="32"/>
  <c r="B18" i="16"/>
  <c r="A19" i="16" s="1"/>
  <c r="D6" i="16"/>
  <c r="B18" i="22"/>
  <c r="A19" i="22" s="1"/>
  <c r="A23" i="22" s="1"/>
  <c r="D6" i="22"/>
  <c r="J11" i="4"/>
  <c r="I11" i="4" s="1"/>
  <c r="I12" i="4" s="1"/>
  <c r="H12" i="25"/>
  <c r="H13" i="4"/>
  <c r="E12" i="2"/>
  <c r="H13" i="2"/>
  <c r="C135" i="2"/>
  <c r="E135" i="2" s="1"/>
  <c r="D18" i="22" s="1"/>
  <c r="A18" i="16" l="1"/>
  <c r="A23" i="16"/>
  <c r="A31" i="22"/>
  <c r="A29" i="22"/>
  <c r="A26" i="22"/>
  <c r="A25" i="22"/>
  <c r="D134" i="28"/>
  <c r="C134" i="28"/>
  <c r="A18" i="22"/>
  <c r="H124" i="2"/>
  <c r="H25" i="32" s="1"/>
  <c r="E12" i="25"/>
  <c r="H13" i="25"/>
  <c r="A27" i="22" l="1"/>
  <c r="A31" i="16"/>
  <c r="A25" i="16"/>
  <c r="A26" i="16"/>
  <c r="A29" i="16"/>
  <c r="D135" i="28"/>
  <c r="C135" i="28"/>
  <c r="D48" i="32"/>
  <c r="D160" i="2"/>
  <c r="E160" i="2" s="1"/>
  <c r="H160" i="2" s="1"/>
  <c r="D143" i="2"/>
  <c r="E143" i="2" s="1"/>
  <c r="D19" i="22"/>
  <c r="H24" i="4"/>
  <c r="D19" i="16"/>
  <c r="D18" i="16" s="1"/>
  <c r="D23" i="22"/>
  <c r="D138" i="2"/>
  <c r="E138" i="2" s="1"/>
  <c r="D167" i="2"/>
  <c r="E167" i="2" s="1"/>
  <c r="D23" i="16"/>
  <c r="D145" i="2"/>
  <c r="E145" i="2" s="1"/>
  <c r="H25" i="4"/>
  <c r="D48" i="4" s="1"/>
  <c r="A27" i="16" l="1"/>
  <c r="D136" i="28"/>
  <c r="C136" i="28"/>
  <c r="I27" i="4"/>
  <c r="H51" i="32"/>
  <c r="D54" i="32"/>
  <c r="G37" i="32"/>
  <c r="G28" i="32"/>
  <c r="G36" i="32"/>
  <c r="B56" i="32" s="1"/>
  <c r="H50" i="32"/>
  <c r="G34" i="32"/>
  <c r="B55" i="32" s="1"/>
  <c r="D50" i="32"/>
  <c r="G32" i="32"/>
  <c r="B54" i="32" s="1"/>
  <c r="G30" i="32"/>
  <c r="B52" i="32" s="1"/>
  <c r="G38" i="32"/>
  <c r="G29" i="32"/>
  <c r="B51" i="32" s="1"/>
  <c r="L17" i="4"/>
  <c r="G166" i="2"/>
  <c r="A34" i="16" s="1"/>
  <c r="A35" i="16" s="1"/>
  <c r="H164" i="2"/>
  <c r="D140" i="2"/>
  <c r="I21" i="4"/>
  <c r="H50" i="4"/>
  <c r="D50" i="4"/>
  <c r="G37" i="4"/>
  <c r="I25" i="4"/>
  <c r="H142" i="2"/>
  <c r="D162" i="2"/>
  <c r="E162" i="2" s="1"/>
  <c r="H162" i="2" s="1"/>
  <c r="D29" i="16"/>
  <c r="H32" i="4"/>
  <c r="G32" i="4" s="1"/>
  <c r="D29" i="22"/>
  <c r="A37" i="16" l="1"/>
  <c r="D137" i="28"/>
  <c r="C137" i="28"/>
  <c r="D52" i="32"/>
  <c r="D56" i="32"/>
  <c r="D55" i="32"/>
  <c r="H48" i="32"/>
  <c r="D31" i="22"/>
  <c r="H34" i="4"/>
  <c r="G34" i="4" s="1"/>
  <c r="B55" i="4" s="1"/>
  <c r="D31" i="16"/>
  <c r="I32" i="4"/>
  <c r="D26" i="16"/>
  <c r="D26" i="22"/>
  <c r="G142" i="2"/>
  <c r="H30" i="4"/>
  <c r="B33" i="22"/>
  <c r="B33" i="16"/>
  <c r="B54" i="4"/>
  <c r="B29" i="16"/>
  <c r="B29" i="22"/>
  <c r="H52" i="4"/>
  <c r="I18" i="4"/>
  <c r="H36" i="4"/>
  <c r="G164" i="2"/>
  <c r="D35" i="22"/>
  <c r="D35" i="16"/>
  <c r="I17" i="4"/>
  <c r="O17" i="4" s="1"/>
  <c r="A34" i="22"/>
  <c r="A35" i="22" s="1"/>
  <c r="A37" i="22" s="1"/>
  <c r="D34" i="16"/>
  <c r="D34" i="22"/>
  <c r="H38" i="4"/>
  <c r="G38" i="4" s="1"/>
  <c r="D54" i="4"/>
  <c r="H51" i="4"/>
  <c r="D138" i="28" l="1"/>
  <c r="C138" i="28" s="1"/>
  <c r="B31" i="16"/>
  <c r="B31" i="22"/>
  <c r="D52" i="4"/>
  <c r="G30" i="4"/>
  <c r="D56" i="4"/>
  <c r="G36" i="4"/>
  <c r="D55" i="4"/>
  <c r="H48" i="4"/>
  <c r="B34" i="22"/>
  <c r="B34" i="16"/>
  <c r="D139" i="28" l="1"/>
  <c r="C139" i="28"/>
  <c r="B35" i="22"/>
  <c r="B56" i="4"/>
  <c r="B35" i="16"/>
  <c r="B52" i="4"/>
  <c r="B26" i="22"/>
  <c r="B26" i="16"/>
  <c r="D140" i="28" l="1"/>
  <c r="C140" i="28"/>
  <c r="E140" i="2"/>
  <c r="D141" i="28" l="1"/>
  <c r="C141" i="28" s="1"/>
  <c r="H137" i="2"/>
  <c r="H174" i="2" s="1"/>
  <c r="I22" i="4"/>
  <c r="D142" i="28" l="1"/>
  <c r="C142" i="28"/>
  <c r="D143" i="28" s="1"/>
  <c r="C143" i="28" s="1"/>
  <c r="D25" i="16"/>
  <c r="D27" i="16" s="1"/>
  <c r="G137" i="2"/>
  <c r="H28" i="4"/>
  <c r="D53" i="4" s="1"/>
  <c r="H29" i="4"/>
  <c r="D51" i="4" s="1"/>
  <c r="D25" i="22"/>
  <c r="D27" i="22" s="1"/>
  <c r="D51" i="32"/>
  <c r="H14" i="2"/>
  <c r="G14" i="2"/>
  <c r="G14" i="25" s="1"/>
  <c r="B8" i="27"/>
  <c r="B7" i="27" s="1"/>
  <c r="C7" i="27" s="1"/>
  <c r="I23" i="4"/>
  <c r="H49" i="4"/>
  <c r="G29" i="4"/>
  <c r="B51" i="4" s="1"/>
  <c r="G28" i="4"/>
  <c r="D37" i="16"/>
  <c r="C178" i="2"/>
  <c r="C179" i="2"/>
  <c r="D37" i="22"/>
  <c r="H6" i="2"/>
  <c r="D144" i="28" l="1"/>
  <c r="C144" i="28" s="1"/>
  <c r="H40" i="4"/>
  <c r="D57" i="4" s="1"/>
  <c r="C20" i="4"/>
  <c r="H14" i="25"/>
  <c r="H15" i="32" s="1"/>
  <c r="H6" i="4"/>
  <c r="C21" i="4"/>
  <c r="D53" i="32"/>
  <c r="H40" i="32"/>
  <c r="H15" i="4"/>
  <c r="B25" i="16"/>
  <c r="B25" i="22"/>
  <c r="D145" i="28" l="1"/>
  <c r="C145" i="28" s="1"/>
  <c r="H54" i="4"/>
  <c r="I53" i="4" s="1"/>
  <c r="H53" i="4" s="1"/>
  <c r="D57" i="32"/>
  <c r="H54" i="32"/>
  <c r="H53" i="32" l="1"/>
  <c r="D146" i="28"/>
  <c r="C146" i="28"/>
  <c r="D147" i="28" l="1"/>
  <c r="C147" i="28" s="1"/>
  <c r="D148" i="28" s="1"/>
  <c r="C148" i="28" s="1"/>
  <c r="D149" i="28" l="1"/>
  <c r="C149" i="28"/>
  <c r="D150" i="28" l="1"/>
  <c r="C150" i="28"/>
  <c r="D151" i="28" l="1"/>
  <c r="C151" i="28"/>
  <c r="D152" i="28" l="1"/>
  <c r="C152" i="28"/>
  <c r="D153" i="28" l="1"/>
  <c r="C153" i="28" s="1"/>
  <c r="D154" i="28" l="1"/>
  <c r="C154" i="28"/>
  <c r="D155" i="28" l="1"/>
  <c r="C155" i="28"/>
  <c r="D156" i="28" l="1"/>
  <c r="C156" i="28"/>
  <c r="D157" i="28" l="1"/>
  <c r="C157" i="28"/>
  <c r="D158" i="28" l="1"/>
  <c r="C158" i="28" s="1"/>
  <c r="D159" i="28" l="1"/>
  <c r="C159" i="28" s="1"/>
  <c r="D160" i="28" l="1"/>
  <c r="C160" i="28" s="1"/>
  <c r="D161" i="28" l="1"/>
  <c r="C161" i="28"/>
  <c r="D162" i="28" l="1"/>
  <c r="C162" i="28"/>
  <c r="D163" i="28" l="1"/>
  <c r="C163" i="28"/>
  <c r="D164" i="28" l="1"/>
  <c r="C164" i="28"/>
  <c r="D165" i="28" l="1"/>
  <c r="C165" i="28"/>
  <c r="D166" i="28" l="1"/>
  <c r="C166" i="28"/>
  <c r="D167" i="28" l="1"/>
  <c r="C167" i="28"/>
  <c r="D168" i="28" l="1"/>
  <c r="C168" i="28"/>
  <c r="D169" i="28" l="1"/>
  <c r="C169" i="28"/>
  <c r="D170" i="28" l="1"/>
  <c r="C170" i="28"/>
  <c r="D171" i="28" l="1"/>
  <c r="C171" i="28"/>
  <c r="D172" i="28" l="1"/>
  <c r="C172" i="28" s="1"/>
  <c r="D173" i="28" l="1"/>
  <c r="C173" i="28"/>
  <c r="D174" i="28" l="1"/>
  <c r="C174" i="28"/>
  <c r="D175" i="28" s="1"/>
  <c r="C175" i="28" s="1"/>
  <c r="D176" i="28" l="1"/>
  <c r="C176" i="28"/>
  <c r="D177" i="28" l="1"/>
  <c r="C177" i="28" s="1"/>
  <c r="D178" i="28" s="1"/>
  <c r="C178" i="28" s="1"/>
  <c r="D179" i="28" s="1"/>
  <c r="C179" i="28" s="1"/>
  <c r="D180" i="28" l="1"/>
  <c r="C180" i="28"/>
  <c r="D181" i="28" l="1"/>
  <c r="C181" i="28"/>
  <c r="D182" i="28" l="1"/>
  <c r="C182" i="28" s="1"/>
  <c r="D183" i="28" l="1"/>
  <c r="C183" i="28"/>
  <c r="D184" i="28" l="1"/>
  <c r="C184" i="28"/>
  <c r="D185" i="28" l="1"/>
  <c r="C185" i="28"/>
  <c r="D186" i="28" l="1"/>
  <c r="C186" i="28"/>
  <c r="D187" i="28" l="1"/>
  <c r="C187" i="28"/>
  <c r="D188" i="28" l="1"/>
  <c r="C188" i="28"/>
  <c r="D189" i="28" l="1"/>
  <c r="C189" i="28"/>
  <c r="D190" i="28" l="1"/>
  <c r="C190" i="28" s="1"/>
  <c r="D191" i="28" s="1"/>
  <c r="C191" i="28" s="1"/>
  <c r="D192" i="28" l="1"/>
  <c r="C192" i="28"/>
  <c r="D193" i="28" s="1"/>
  <c r="C193" i="28" s="1"/>
  <c r="D194" i="28" l="1"/>
  <c r="C194" i="28"/>
  <c r="D195" i="28" l="1"/>
  <c r="C195" i="28"/>
  <c r="D196" i="28" s="1"/>
  <c r="C196" i="28" s="1"/>
  <c r="D197" i="28" l="1"/>
  <c r="C197" i="28"/>
  <c r="D198" i="28" l="1"/>
  <c r="C198" i="28"/>
  <c r="D199" i="28" s="1"/>
  <c r="C199" i="28" s="1"/>
  <c r="D200" i="28" l="1"/>
  <c r="C200" i="28"/>
  <c r="D201" i="28" l="1"/>
  <c r="C201" i="28"/>
  <c r="D202" i="28" l="1"/>
  <c r="C202" i="28"/>
  <c r="D203" i="28" s="1"/>
  <c r="C203" i="28" s="1"/>
  <c r="D204" i="28" l="1"/>
  <c r="C204" i="28" s="1"/>
  <c r="D205" i="28" l="1"/>
  <c r="C205" i="28"/>
  <c r="D206" i="28" l="1"/>
  <c r="C206" i="28"/>
  <c r="D207" i="28" s="1"/>
  <c r="C207" i="28" s="1"/>
  <c r="D208" i="28" s="1"/>
  <c r="C208" i="28" s="1"/>
  <c r="D209" i="28" l="1"/>
  <c r="C209" i="28"/>
  <c r="D210" i="28" l="1"/>
  <c r="C210" i="28"/>
  <c r="D211" i="28" l="1"/>
  <c r="C211" i="28"/>
  <c r="D212" i="28" l="1"/>
  <c r="C212" i="28"/>
  <c r="D213" i="28" l="1"/>
  <c r="C213" i="28"/>
  <c r="D214" i="28" l="1"/>
  <c r="C214" i="28"/>
  <c r="D215" i="28" l="1"/>
  <c r="C215" i="28"/>
  <c r="D216" i="28" l="1"/>
  <c r="C216" i="28"/>
  <c r="D217" i="28" l="1"/>
  <c r="C217" i="28" s="1"/>
  <c r="D218" i="28" l="1"/>
  <c r="C218" i="28"/>
  <c r="D219" i="28" s="1"/>
  <c r="C219" i="28" s="1"/>
  <c r="D220" i="28" l="1"/>
  <c r="C220" i="28"/>
  <c r="D221" i="28" l="1"/>
  <c r="C221"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tc={8FD50AA7-6741-874E-8573-AF62B2BC95C5}</author>
  </authors>
  <commentList>
    <comment ref="B18" authorId="0" shapeId="0" xr:uid="{8FD50AA7-6741-874E-8573-AF62B2BC95C5}">
      <text>
        <t xml:space="preserve">[Threaded comment]
Your version of Excel allows you to read this threaded comment; however, any edits to it will get removed if the file is opened in a newer version of Excel. Learn more: https://go.microsoft.com/fwlink/?linkid=870924
Comment:
    Please use the current PBW template to find an updated escalation factor based on Base Date, Bid Date, and more current ENR Index values published after this file's PBW Revision Date. This allows a quick one cell and one value edit to update a previous budget estimate without having to recreate the entire PBW again, assuming all that has changed is inflation.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tc={31C84E90-F4CD-294C-821E-47C5A2CC8CCE}</author>
  </authors>
  <commentList>
    <comment ref="H1" authorId="0" shapeId="0" xr:uid="{31C84E90-F4CD-294C-821E-47C5A2CC8CCE}">
      <text>
        <t>[Threaded comment]
Your version of Excel allows you to read this threaded comment; however, any edits to it will get removed if the file is opened in a newer version of Excel. Learn more: https://go.microsoft.com/fwlink/?linkid=870924
Comment:
    This worksheet will auto-complete based on Project Budget Worksheet (PBW).</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tc={0FBC002F-8431-4248-B393-6FAC3E85DC09}</author>
    <author>tc={C7403AF5-F38A-1048-9D11-3BC22BAA3422}</author>
    <author>tc={F93897B8-6825-CE44-B28E-AD2ED8B0063C}</author>
    <author>tc={D790599E-DE40-4042-A989-C9F6DC2410AC}</author>
    <author>tc={AAD73E21-82ED-4945-A4BD-519F93EC466D}</author>
    <author>tc={CBD8749D-37E7-9F44-A7FC-A681C35DCB8B}</author>
    <author>tc={956A9DB7-1733-994B-BCD3-986104710021}</author>
    <author>tc={447C04C3-3E99-C542-A0F4-983FBCDAA2A6}</author>
    <author>tc={589A3024-3C7A-4843-938A-F1FDBCC2FD91}</author>
    <author>tc={C40C5361-A92B-4640-87E0-349898AFC8AB}</author>
    <author>tc={37817C58-33BD-1140-AA1C-66FCDDE19BF0}</author>
    <author>tc={279762C7-35D2-2B4B-BF29-F86B2EF1013F}</author>
    <author>tc={AB92EC90-CF3E-D545-AB91-8BA95578311B}</author>
    <author>tc={B2507F47-2F72-9243-BC76-2E628E880158}</author>
    <author>tc={3A2A6697-23EF-C24B-ADCC-E8E4CFA9ACE4}</author>
    <author>tc={5B9AC1A3-65DE-0549-85D2-51766F9B3B56}</author>
    <author>tc={1E04D922-8DD6-7541-B220-F6B579C7A90D}</author>
    <author>tc={D25DB76D-ECD2-A64C-A653-A48862C03227}</author>
    <author>tc={4F015D2C-D763-8347-99BE-4DAD4B0C39E6}</author>
    <author>tc={B5335DAB-1056-0D4F-AC41-C09616CAAE0D}</author>
    <author>tc={68FCACE1-27B0-E04B-891C-23C0CD0B41D3}</author>
    <author>tc={08D0C541-376B-6C4F-BC08-C51B81C1434A}</author>
  </authors>
  <commentList>
    <comment ref="G3" authorId="0" shapeId="0" xr:uid="{0FBC002F-8431-4248-B393-6FAC3E85DC09}">
      <text>
        <t>[Threaded comment]
Your version of Excel allows you to read this threaded comment; however, any edits to it will get removed if the file is opened in a newer version of Excel. Learn more: https://go.microsoft.com/fwlink/?linkid=870924
Comment:
    The contents in this cell should be hard coded to the date the PBW is finalized. Simply overwrite the formula with the actual date entry (i.e. 04/01/2022).</t>
      </text>
    </comment>
    <comment ref="A4" authorId="1" shapeId="0" xr:uid="{C7403AF5-F38A-1048-9D11-3BC22BAA3422}">
      <text>
        <t>[Threaded comment]
Your version of Excel allows you to read this threaded comment; however, any edits to it will get removed if the file is opened in a newer version of Excel. Learn more: https://go.microsoft.com/fwlink/?linkid=870924
Comment:
    Intended to contain the UW Institution Name (i.e. UW-INSTITUTION NAME). This field has a drop down pick list to choose from for standardized institution names.</t>
      </text>
    </comment>
    <comment ref="A5" authorId="2" shapeId="0" xr:uid="{F93897B8-6825-CE44-B28E-AD2ED8B0063C}">
      <text>
        <t>[Threaded comment]
Your version of Excel allows you to read this threaded comment; however, any edits to it will get removed if the file is opened in a newer version of Excel. Learn more: https://go.microsoft.com/fwlink/?linkid=870924
Comment:
    AA = All Agency
IS = Instructional Space
MFR = Minor Facilities Renewal
MP = Major Project
P&amp;D = Planning &amp; Design
SP = Small Project
X = Unspecified</t>
      </text>
    </comment>
    <comment ref="A6" authorId="3" shapeId="0" xr:uid="{D790599E-DE40-4042-A989-C9F6DC2410AC}">
      <text>
        <t>[Threaded comment]
Your version of Excel allows you to read this threaded comment; however, any edits to it will get removed if the file is opened in a newer version of Excel. Learn more: https://go.microsoft.com/fwlink/?linkid=870924
Comment:
    Intended to contain the Project Name, Project No., Alternate or Option No., and date reference of publication.</t>
      </text>
    </comment>
    <comment ref="G9" authorId="4" shapeId="0" xr:uid="{AAD73E21-82ED-4945-A4BD-519F93EC466D}">
      <text>
        <t>[Threaded comment]
Your version of Excel allows you to read this threaded comment; however, any edits to it will get removed if the file is opened in a newer version of Excel. Learn more: https://go.microsoft.com/fwlink/?linkid=870924
Comment:
    Base Date should be on or prior to revision date of Project Budget Worksheet template to maximize the actual inflation included in the budget estimate vs. estimated inflation.
Cell has conditional formatting to highlight RED if Base Date &gt; PBW Revision Date or if Base Date is more than 4 years old, highlight YELLOW if the Base Date is between 2-4 years old.</t>
      </text>
    </comment>
    <comment ref="G12" authorId="5" shapeId="0" xr:uid="{CBD8749D-37E7-9F44-A7FC-A681C35DCB8B}">
      <text>
        <t>[Threaded comment]
Your version of Excel allows you to read this threaded comment; however, any edits to it will get removed if the file is opened in a newer version of Excel. Learn more: https://go.microsoft.com/fwlink/?linkid=870924
Comment:
    This value will default to the Escalation (Calculated) value above based on the Base Date and Bid Date values embedded in the ENR Index worksheet included in this workbook template. 
This value can be manually overwritten using the ENR Index values from a future Project Budget Worksheet edition to correct inflation value calculations and estimates after the initial Project Budget Worksheet creation and submittal.</t>
      </text>
    </comment>
    <comment ref="G14" authorId="6" shapeId="0" xr:uid="{956A9DB7-1733-994B-BCD3-986104710021}">
      <text>
        <t>[Threaded comment]
Your version of Excel allows you to read this threaded comment; however, any edits to it will get removed if the file is opened in a newer version of Excel. Learn more: https://go.microsoft.com/fwlink/?linkid=870924
Comment:
    Occupancy Date will autocalculate based on project size and DFD guidance on project duration based on project size.</t>
      </text>
    </comment>
    <comment ref="F39" authorId="7" shapeId="0" xr:uid="{447C04C3-3E99-C542-A0F4-983FBCDAA2A6}">
      <text>
        <t>[Threaded comment]
Your version of Excel allows you to read this threaded comment; however, any edits to it will get removed if the file is opened in a newer version of Excel. Learn more: https://go.microsoft.com/fwlink/?linkid=870924
Comment:
    DFD Standard Trade Unit Costs: Automatically updated based on July 2011 ENR Value and the PBW Base Index Value defined above.</t>
      </text>
    </comment>
    <comment ref="G67" authorId="8" shapeId="0" xr:uid="{589A3024-3C7A-4843-938A-F1FDBCC2FD91}">
      <text>
        <t>[Threaded comment]
Your version of Excel allows you to read this threaded comment; however, any edits to it will get removed if the file is opened in a newer version of Excel. Learn more: https://go.microsoft.com/fwlink/?linkid=870924
Comment:
    DFD Standard Demolition Cost: Automatically updated based on July 2018 ENR Value and the PBW Base Index Value defined above.</t>
      </text>
    </comment>
    <comment ref="B130" authorId="9" shapeId="0" xr:uid="{C40C5361-A92B-4640-87E0-349898AFC8AB}">
      <text>
        <t>[Threaded comment]
Your version of Excel allows you to read this threaded comment; however, any edits to it will get removed if the file is opened in a newer version of Excel. Learn more: https://go.microsoft.com/fwlink/?linkid=870924
Comment:
    Default to 10%, but may range above or below that value dependent on size, complexity, and development status of project. Use Designer's value from feasibility study when possible. Value should be 0% if Design Report is complete.</t>
      </text>
    </comment>
    <comment ref="B131" authorId="10" shapeId="0" xr:uid="{37817C58-33BD-1140-AA1C-66FCDDE19BF0}">
      <text>
        <t xml:space="preserve">[Threaded comment]
Your version of Excel allows you to read this threaded comment; however, any edits to it will get removed if the file is opened in a newer version of Excel. Learn more: https://go.microsoft.com/fwlink/?linkid=870924
Comment:
    Indirect project costs, project specific costs that do not result in an asset. Use Desiger's value from Pre-Design Report when necessary (i.e. when pre-design values that are used in PBW do not already include General conditions factors). </t>
      </text>
    </comment>
    <comment ref="B132" authorId="11" shapeId="0" xr:uid="{279762C7-35D2-2B4B-BF29-F86B2EF1013F}">
      <text>
        <t xml:space="preserve">[Threaded comment]
Your version of Excel allows you to read this threaded comment; however, any edits to it will get removed if the file is opened in a newer version of Excel. Learn more: https://go.microsoft.com/fwlink/?linkid=870924
Comment:
    Indirect non-project costs. Typically ranges from 5% to 15%. Use Desiger's value from Pre-Design Report when necessary (i.e. when pre-design values that are used in PBW do not already include OH&amp;P factors). </t>
      </text>
    </comment>
    <comment ref="B138" authorId="12" shapeId="0" xr:uid="{AB92EC90-CF3E-D545-AB91-8BA95578311B}">
      <text>
        <t>[Threaded comment]
Your version of Excel allows you to read this threaded comment; however, any edits to it will get removed if the file is opened in a newer version of Excel. Learn more: https://go.microsoft.com/fwlink/?linkid=870924
Comment:
    New Construction Design Fee Guidance
                      Project Complexity
Construction Cost     HIGH |  AVG  |  LOW
≦ $100K:            (14.2% | 13.6% | 12.8%)
$100K - $500K:      (14.1% | 13.3% | 12.3%)
$500K - $1M:        (11.6% | 10.9% |  9.9%)
$1M - $2.5M:        (10.6% |  9.8% |  8.8%)
$2.5M - $5M:        ( 9.2% |  8.3% |  7.3%)
$5M - $30M:         ( 8.3% |  7.4% |  6.3%)
$30M - $50M:        ( 7.0% |  6.2% |  5.3%)
$50M+:              ( 6.1% |  5.5% |  4.7%)
Renovation &amp; Remodeling Design Fee Guidance
                      Project Complexity
Construction Cost     HIGH |  AVG  |  LOW
≦ $100K:            (16.0% | 14.0% | 13.0%)
$100K - $500K:      (14.3% | 13.5% | 12.5%)
$500K - $1M:        (12.0% | 11.1% | 10.1%)
$1M - $2.5M:        (10.9% |  9.9% |  8.9%)
$2.5M - $5M:        ( 9.4% |  8.5% |  7.4%)
$5M - $30M:         ( 8.4% |  7.5% |  6.4%)
$30M - $50M:        ( 7.1% |  6.3% |  5.4%)
$50M+:              ( 6.2% |  5.6% |  4.8%)
If programming is not done by the agency, or if extensive program verification is required, an additional 0.1% to 1.5% should be added to the fee guidance shown above. 
High Complexity: Most complex projects both in design and detail include buildings of specialized architectural character, memorial, historic or monumental nature requiring special study or analysis and/or involve complex programs, mechanical systems, code requirements, etc. Project types include auditorium/theaters, communication buildings, extended care facilities, complex engineering projects, laboratories, historical restoration, and museums.
Average Complexity: Project types include readiness centers, building systems, maintenance shops, firing ranges, recreational facilities, teaching laboratories, medical offices &amp; clinics, laundry facilities, office buildings, site utilities, university centers, residence halls, and child day care facilities.
Low Complexity: Projects are simple or repetitive construction without any great degree of special finish or design effort. May include projects where equipment purchase comprises a large portion of the construction budget. Project types include asbestos removal, building envelope repairs, roofing, life safety compliance, demolition, minimum security correctional centers, park shelters, warehouse, radio/television towers, service garage, and site work.</t>
      </text>
    </comment>
    <comment ref="D139" authorId="13" shapeId="0" xr:uid="{B2507F47-2F72-9243-BC76-2E628E880158}">
      <text>
        <t>[Threaded comment]
Your version of Excel allows you to read this threaded comment; however, any edits to it will get removed if the file is opened in a newer version of Excel. Learn more: https://go.microsoft.com/fwlink/?linkid=870924
Comment:
    Data Entry in this cell will override the calculated Fee in the Row above based on the % of Construction Cost. This cell can be used for Fees only type projects (i.e. Feasibility Studies, Master Plans, etc.) or when the user needs to match a specific $ amount that is easier to enter than to calculate.</t>
      </text>
    </comment>
    <comment ref="B140" authorId="14" shapeId="0" xr:uid="{3A2A6697-23EF-C24B-ADCC-E8E4CFA9ACE4}">
      <text>
        <t>[Threaded comment]
Your version of Excel allows you to read this threaded comment; however, any edits to it will get removed if the file is opened in a newer version of Excel. Learn more: https://go.microsoft.com/fwlink/?linkid=870924
Comment:
    Normally 4% of A/E fee for Major Projects. Includes survey, geotechnical, and plan review.</t>
      </text>
    </comment>
    <comment ref="B143" authorId="15" shapeId="0" xr:uid="{5B9AC1A3-65DE-0549-85D2-51766F9B3B56}">
      <text>
        <t>[Threaded comment]
Your version of Excel allows you to read this threaded comment; however, any edits to it will get removed if the file is opened in a newer version of Excel. Learn more: https://go.microsoft.com/fwlink/?linkid=870924
Comment:
    Ranges from 1/2% to 1-1/4% for Major Projects.</t>
      </text>
    </comment>
    <comment ref="B145" authorId="16" shapeId="0" xr:uid="{1E04D922-8DD6-7541-B220-F6B579C7A90D}">
      <text>
        <t>[Threaded comment]
Your version of Excel allows you to read this threaded comment; however, any edits to it will get removed if the file is opened in a newer version of Excel. Learn more: https://go.microsoft.com/fwlink/?linkid=870924
Comment:
    Level 1 = 0.00% - 0.25%
Level 2 = 0.15% - 1.00%</t>
      </text>
    </comment>
    <comment ref="D146" authorId="17" shapeId="0" xr:uid="{D25DB76D-ECD2-A64C-A653-A48862C03227}">
      <text>
        <t>[Threaded comment]
Your version of Excel allows you to read this threaded comment; however, any edits to it will get removed if the file is opened in a newer version of Excel. Learn more: https://go.microsoft.com/fwlink/?linkid=870924
Comment:
    Type  I: $50,000 - $100,000 Type II: $30,000 - $50,000</t>
      </text>
    </comment>
    <comment ref="B152" authorId="18" shapeId="0" xr:uid="{4F015D2C-D763-8347-99BE-4DAD4B0C39E6}">
      <text>
        <t>[Threaded comment]
Your version of Excel allows you to read this threaded comment; however, any edits to it will get removed if the file is opened in a newer version of Excel. Learn more: https://go.microsoft.com/fwlink/?linkid=870924
Comment:
    This Design Fee is a percent of the OFCI Furnishings, Fixtures, &amp; Equipment Cost Estimate. Percentages will vary based on complexity of project, FF&amp;E items, and services desired.
≤4% of FF&amp;E Budget: Selection and specification only.
≤10% of FF&amp;E Budget: Selection, specification, layout/design, and procurement assistance. 
REQUIRES DATA ENTRY IN ONE OR MORE OF THE FIVE ROWS IMMEDIATELY BELOW THIS ROW.</t>
      </text>
    </comment>
    <comment ref="B160" authorId="19" shapeId="0" xr:uid="{B5335DAB-1056-0D4F-AC41-C09616CAAE0D}">
      <text>
        <t>[Threaded comment]
Your version of Excel allows you to read this threaded comment; however, any edits to it will get removed if the file is opened in a newer version of Excel. Learn more: https://go.microsoft.com/fwlink/?linkid=870924
Comment:
    Percent of Total Construction Cost. 15% default for all projects.</t>
      </text>
    </comment>
    <comment ref="D162" authorId="20" shapeId="0" xr:uid="{68FCACE1-27B0-E04B-891C-23C0CD0B41D3}">
      <text>
        <t>[Threaded comment]
Your version of Excel allows you to read this threaded comment; however, any edits to it will get removed if the file is opened in a newer version of Excel. Learn more: https://go.microsoft.com/fwlink/?linkid=870924
Comment:
    4% of (Total Construction Cost + Project Contingency).</t>
      </text>
    </comment>
    <comment ref="B167" authorId="21" shapeId="0" xr:uid="{08D0C541-376B-6C4F-BC08-C51B81C1434A}">
      <text>
        <t>[Threaded comment]
Your version of Excel allows you to read this threaded comment; however, any edits to it will get removed if the file is opened in a newer version of Excel. Learn more: https://go.microsoft.com/fwlink/?linkid=870924
Comment:
    Lump sum percentage of construction value + the itemized costs in the five rows below this row. Percentages will vary based on project type, how much existing FF&amp;E will be salvaged, etc. 
     - Typical project 5-10% 
     - Laboratory buildings 10-15%</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tc={FA364F24-0F4A-A94F-B31F-D2A80431623B}</author>
  </authors>
  <commentList>
    <comment ref="H1" authorId="0" shapeId="0" xr:uid="{FA364F24-0F4A-A94F-B31F-D2A80431623B}">
      <text>
        <t>[Threaded comment]
Your version of Excel allows you to read this threaded comment; however, any edits to it will get removed if the file is opened in a newer version of Excel. Learn more: https://go.microsoft.com/fwlink/?linkid=870924
Comment:
    This worksheet will auto-complete based on Project Budget Worksheet (PBW).</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tc={86542E4D-466F-1D43-8AA7-E03BD517DCF5}</author>
  </authors>
  <commentList>
    <comment ref="H1" authorId="0" shapeId="0" xr:uid="{86542E4D-466F-1D43-8AA7-E03BD517DCF5}">
      <text>
        <t>[Threaded comment]
Your version of Excel allows you to read this threaded comment; however, any edits to it will get removed if the file is opened in a newer version of Excel. Learn more: https://go.microsoft.com/fwlink/?linkid=870924
Comment:
    This worksheet will auto-complete based on Project Budget Worksheet (PBW).</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tc={11DDF280-7EC0-4E45-8240-5177D2392EDE}</author>
    <author>tc={FBDBE5AA-9E3A-A14B-84E2-79FC48CF0CBD}</author>
  </authors>
  <commentList>
    <comment ref="C3" authorId="0" shapeId="0" xr:uid="{11DDF280-7EC0-4E45-8240-5177D2392EDE}">
      <text>
        <t>[Threaded comment]
Your version of Excel allows you to read this threaded comment; however, any edits to it will get removed if the file is opened in a newer version of Excel. Learn more: https://go.microsoft.com/fwlink/?linkid=870924
Comment:
    This value will auto-complete based on PBW_NoInflationWorksheet.</t>
      </text>
    </comment>
    <comment ref="C4" authorId="1" shapeId="0" xr:uid="{FBDBE5AA-9E3A-A14B-84E2-79FC48CF0CBD}">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tc={F53B111D-F1EA-1C4B-B114-F199C84D472E}</author>
    <author>tc={E4A38D81-C874-BE48-9528-780AB12F2522}</author>
    <author>tc={889A9625-E221-9E4D-AB8F-CC0880916DB6}</author>
    <author>tc={E9F4FA1D-0A93-5C4C-B302-36EB949EE1E7}</author>
    <author>tc={261460B8-8540-CF44-BBF9-BB48AF5C767A}</author>
    <author>tc={39709B87-F2CC-334D-A2A5-FCAA7581238A}</author>
    <author>tc={422A518A-BDF2-5A40-AAB5-A9157313F1A0}</author>
  </authors>
  <commentList>
    <comment ref="B3" authorId="0" shapeId="0" xr:uid="{F53B111D-F1EA-1C4B-B114-F199C84D472E}">
      <text>
        <t>[Threaded comment]
Your version of Excel allows you to read this threaded comment; however, any edits to it will get removed if the file is opened in a newer version of Excel. Learn more: https://go.microsoft.com/fwlink/?linkid=870924
Comment:
    This value will auto-complete based on PBW_NoInflationWorksheet.</t>
      </text>
    </comment>
    <comment ref="B4" authorId="1" shapeId="0" xr:uid="{E4A38D81-C874-BE48-9528-780AB12F2522}">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 ref="C4" authorId="2" shapeId="0" xr:uid="{889A9625-E221-9E4D-AB8F-CC0880916DB6}">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 ref="B5" authorId="3" shapeId="0" xr:uid="{E9F4FA1D-0A93-5C4C-B302-36EB949EE1E7}">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 ref="C5" authorId="4" shapeId="0" xr:uid="{261460B8-8540-CF44-BBF9-BB48AF5C767A}">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 ref="B6" authorId="5" shapeId="0" xr:uid="{39709B87-F2CC-334D-A2A5-FCAA7581238A}">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 ref="B8" authorId="6" shapeId="0" xr:uid="{422A518A-BDF2-5A40-AAB5-A9157313F1A0}">
      <text>
        <t>[Threaded comment]
Your version of Excel allows you to read this threaded comment; however, any edits to it will get removed if the file is opened in a newer version of Excel. Learn more: https://go.microsoft.com/fwlink/?linkid=870924
Comment:
    This value will auto-complete based on Project Budget Worksheet (PBW).</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tc={0D3BCD2F-46D2-B044-8C85-F730AA7FE02A}</author>
    <author>tc={22B46F9E-F69B-9B48-B66F-6ABC2055377B}</author>
    <author>tc={9D7049F7-E8DB-944E-A72E-5C65561186DF}</author>
    <author>tc={A1B2B75F-A08B-7D49-BF6F-F5EBFB69E006}</author>
    <author>tc={8227AF3A-8127-0C4A-9B44-38DEF30BAA12}</author>
    <author>tc={E3589802-CE0B-B741-9456-BDC617ED50A5}</author>
    <author>tc={17A85E52-D7FF-ED4F-9ACA-93DFBAEA535C}</author>
  </authors>
  <commentList>
    <comment ref="B4" authorId="0" shapeId="0" xr:uid="{0D3BCD2F-46D2-B044-8C85-F730AA7FE02A}">
      <text>
        <t>[Threaded comment]
Your version of Excel allows you to read this threaded comment; however, any edits to it will get removed if the file is opened in a newer version of Excel. Learn more: https://go.microsoft.com/fwlink/?linkid=870924
Comment:
    Intended that the modified Inflation Factor entered here would be determined and calculated based on a later PBW Revision template with a more current and updated ENR worksheet content. The ENR worksheet content included in this file is frozen in time.</t>
      </text>
    </comment>
    <comment ref="B5" authorId="1" shapeId="0" xr:uid="{22B46F9E-F69B-9B48-B66F-6ABC2055377B}">
      <text>
        <t>[Threaded comment]
Your version of Excel allows you to read this threaded comment; however, any edits to it will get removed if the file is opened in a newer version of Excel. Learn more: https://go.microsoft.com/fwlink/?linkid=870924
Comment:
    Primarily intended to quickly see differences in budget estimates for proposed accelerated schedules.</t>
      </text>
    </comment>
    <comment ref="B6" authorId="2" shapeId="0" xr:uid="{9D7049F7-E8DB-944E-A72E-5C65561186DF}">
      <text>
        <t>[Threaded comment]
Your version of Excel allows you to read this threaded comment; however, any edits to it will get removed if the file is opened in a newer version of Excel. Learn more: https://go.microsoft.com/fwlink/?linkid=870924
Comment:
    Although it is possible to make duplicates of the PBW worksheet in the same file to explore alternatives and options, the PBW_Summary worksheet will only map to the original PBW worksheet content.</t>
      </text>
    </comment>
    <comment ref="B10" authorId="3" shapeId="0" xr:uid="{A1B2B75F-A08B-7D49-BF6F-F5EBFB69E006}">
      <text>
        <t>[Threaded comment]
Your version of Excel allows you to read this threaded comment; however, any edits to it will get removed if the file is opened in a newer version of Excel. Learn more: https://go.microsoft.com/fwlink/?linkid=870924
Comment:
    Data source found at &lt;https://www.enr.com/economics/historical_indices/building_cost_index_history&gt;, but requires user account to access data content.</t>
      </text>
    </comment>
    <comment ref="B11" authorId="4" shapeId="0" xr:uid="{8227AF3A-8127-0C4A-9B44-38DEF30BAA12}">
      <text>
        <t>[Threaded comment]
Your version of Excel allows you to read this threaded comment; however, any edits to it will get removed if the file is opened in a newer version of Excel. Learn more: https://go.microsoft.com/fwlink/?linkid=870924
Comment:
    Modified by UWSA to extend possible Bid Date range as DFD’s standard template only allowed Bid Dates through June 2026.</t>
      </text>
    </comment>
    <comment ref="B13" authorId="5" shapeId="0" xr:uid="{E3589802-CE0B-B741-9456-BDC617ED50A5}">
      <text>
        <t>[Threaded comment]
Your version of Excel allows you to read this threaded comment; however, any edits to it will get removed if the file is opened in a newer version of Excel. Learn more: https://go.microsoft.com/fwlink/?linkid=870924
Comment:
    Modeled after DFD’s Inflation Estimation Tool worksheet, but allows multiple Base Dates and extends range of possible Bid Dates.</t>
      </text>
    </comment>
    <comment ref="B17" authorId="6" shapeId="0" xr:uid="{17A85E52-D7FF-ED4F-9ACA-93DFBAEA535C}">
      <text>
        <t xml:space="preserve">[Threaded comment]
Your version of Excel allows you to read this threaded comment; however, any edits to it will get removed if the file is opened in a newer version of Excel. Learn more: https://go.microsoft.com/fwlink/?linkid=870924
Comment:
    PBW Revision Date and associated fields primarily created and generated to facilitate easy template updates without having to manually edit each worksheet in the template for a revision date. </t>
      </text>
    </comment>
  </commentList>
</comments>
</file>

<file path=xl/sharedStrings.xml><?xml version="1.0" encoding="utf-8"?>
<sst xmlns="http://schemas.openxmlformats.org/spreadsheetml/2006/main" count="1011" uniqueCount="457">
  <si>
    <t>Trade Cost</t>
  </si>
  <si>
    <t>Category Cost</t>
  </si>
  <si>
    <t>- Construction Testing</t>
  </si>
  <si>
    <t>- LEED™ certification</t>
  </si>
  <si>
    <t>XXX</t>
  </si>
  <si>
    <t>- Testing &amp; Balancing</t>
  </si>
  <si>
    <t>- EIS/EIA consultant</t>
  </si>
  <si>
    <t>Academic – Multi Use</t>
  </si>
  <si>
    <t>Fine Arts Auditorium</t>
  </si>
  <si>
    <t>Laboratory Space</t>
  </si>
  <si>
    <t>Library</t>
  </si>
  <si>
    <t>For offices as part of other buildings with higher costs/ GSF use average of office cost and the other space type cost</t>
  </si>
  <si>
    <t>Residence Hall</t>
  </si>
  <si>
    <t>Student Union</t>
  </si>
  <si>
    <t>Pole Barn, includes fixed equipment</t>
  </si>
  <si>
    <t>Pole Barn, unheated</t>
  </si>
  <si>
    <t>Parking</t>
  </si>
  <si>
    <t>500 stalls</t>
  </si>
  <si>
    <t>100 stalls</t>
  </si>
  <si>
    <t>200 stalls</t>
  </si>
  <si>
    <t/>
  </si>
  <si>
    <t xml:space="preserve">PROJECT TITLE:  </t>
  </si>
  <si>
    <t>TOT PROJ COST EST:</t>
  </si>
  <si>
    <t>NEW BUILDING AREA</t>
  </si>
  <si>
    <t xml:space="preserve"> ASF New Const </t>
  </si>
  <si>
    <t xml:space="preserve"> GSF New Const </t>
  </si>
  <si>
    <t>REMODELING AREA</t>
  </si>
  <si>
    <t>Escalation Factor:</t>
  </si>
  <si>
    <t xml:space="preserve"> GSF Remodeling</t>
  </si>
  <si>
    <t xml:space="preserve"> GSF Total Bldg</t>
  </si>
  <si>
    <t>Space Category</t>
  </si>
  <si>
    <t>ASF</t>
  </si>
  <si>
    <t>Eff</t>
  </si>
  <si>
    <t>GSF</t>
  </si>
  <si>
    <t>$/GSF</t>
  </si>
  <si>
    <t>Subtotal: $</t>
  </si>
  <si>
    <t>Trade Category</t>
  </si>
  <si>
    <t>General</t>
  </si>
  <si>
    <t xml:space="preserve">  -Surface Treatment</t>
  </si>
  <si>
    <t xml:space="preserve">  -Minor</t>
  </si>
  <si>
    <t xml:space="preserve">  -Partial</t>
  </si>
  <si>
    <t xml:space="preserve">  -Complete</t>
  </si>
  <si>
    <t>Plumbing</t>
  </si>
  <si>
    <t xml:space="preserve">  -Special Laboratory Needs</t>
  </si>
  <si>
    <t>Electric</t>
  </si>
  <si>
    <t>TOTAL  PROJECT  BUDGET  ESTIMATE</t>
  </si>
  <si>
    <t>NOTES:</t>
  </si>
  <si>
    <t>Heat/Vent/Air Cond</t>
  </si>
  <si>
    <t>NEW CONSTRUCTION BY SPACE TYPE</t>
  </si>
  <si>
    <t>REMODELING BY SPACE TYPE</t>
  </si>
  <si>
    <t>REMODELING BY TRADE</t>
  </si>
  <si>
    <t>Function</t>
  </si>
  <si>
    <t>Revised By:</t>
  </si>
  <si>
    <t>/GSF: Total Project Cost</t>
  </si>
  <si>
    <t>/ASF: Total Project Cost</t>
  </si>
  <si>
    <t>/ASF: Construction Cost (building &amp; site)</t>
  </si>
  <si>
    <t>/GSF: Construction Cost (building &amp; site)</t>
  </si>
  <si>
    <t>Efficiency</t>
  </si>
  <si>
    <t>Remodeling</t>
  </si>
  <si>
    <t>- Reimbursible costs</t>
  </si>
  <si>
    <t>- Systems Furniture</t>
  </si>
  <si>
    <t>Base Date:</t>
  </si>
  <si>
    <t>QUANTITY</t>
  </si>
  <si>
    <t>UNIT COST</t>
  </si>
  <si>
    <t>SUBTOTAL</t>
  </si>
  <si>
    <t>UNIT</t>
  </si>
  <si>
    <t>LUMP SUM</t>
  </si>
  <si>
    <t>LF</t>
  </si>
  <si>
    <t>- Pre-design</t>
  </si>
  <si>
    <t>Entrance/Lobby</t>
  </si>
  <si>
    <t>Classrooms</t>
  </si>
  <si>
    <t>Laboratories</t>
  </si>
  <si>
    <t>Offices</t>
  </si>
  <si>
    <t>Storage</t>
  </si>
  <si>
    <t>2. Architect/Engineer Basic Services</t>
  </si>
  <si>
    <t>3. Additional Design Services</t>
  </si>
  <si>
    <t>4. Project Contingency</t>
  </si>
  <si>
    <t>1. Total Construction Cost</t>
  </si>
  <si>
    <t>ADDITIONAL CONSTRUCTION &amp; REMODELING COSTS:</t>
  </si>
  <si>
    <t>TOTAL PROJECT COST ESTIMATE:</t>
  </si>
  <si>
    <t>Bid Date</t>
  </si>
  <si>
    <t>DEMO</t>
  </si>
  <si>
    <t>HAZ MATS</t>
  </si>
  <si>
    <t>HAZARDOUS MATERIALS ABATEMENT</t>
  </si>
  <si>
    <t>HEADING NAME OR ITEM CODE</t>
  </si>
  <si>
    <t>ITEM DESCRIPTION</t>
  </si>
  <si>
    <t>Notes</t>
  </si>
  <si>
    <t>HEADING #1, LINE ITEM #1</t>
  </si>
  <si>
    <t>HEADING #1, LINE ITEM #2</t>
  </si>
  <si>
    <t>HEADING #1, LINE ITEM #3</t>
  </si>
  <si>
    <t>HEADING #2, LINE ITEM #2</t>
  </si>
  <si>
    <t>HEADING #2, LINE ITEM #3</t>
  </si>
  <si>
    <t>CONSTRUCTION</t>
  </si>
  <si>
    <t>TOTAL CONSTRUCTION</t>
  </si>
  <si>
    <t>DESIGN FEES (BASIC)</t>
  </si>
  <si>
    <t>DESIGN FEES (OTHER)</t>
  </si>
  <si>
    <t>TOTAL DESIGN FEES</t>
  </si>
  <si>
    <t>CONTINGENCY</t>
  </si>
  <si>
    <t>MANAGEMENT FEES</t>
  </si>
  <si>
    <t>TOTAL BUDGET ESTIMATE</t>
  </si>
  <si>
    <t>X</t>
  </si>
  <si>
    <t xml:space="preserve">LOCATION:  </t>
  </si>
  <si>
    <t xml:space="preserve">OPTION NO.:  </t>
  </si>
  <si>
    <t>5. Project Management</t>
  </si>
  <si>
    <t>- Basic Services (Calculated % of Construction $)</t>
  </si>
  <si>
    <t>- Basic Services (Enter Direct $ for Basic A/E Fees)</t>
  </si>
  <si>
    <t>Movable furnishings, kitchen appliances and fixtures, and specialty items (i.e. coolers or freezers sized for more than day use, blast freezers, large exhaust ventilation hoods) are not included in these $/GSF figures.</t>
  </si>
  <si>
    <t>Design Contingency</t>
  </si>
  <si>
    <t>Design Fees (Basic)</t>
  </si>
  <si>
    <t>Design Fees (Other)</t>
  </si>
  <si>
    <t>Design Fees Budget Total</t>
  </si>
  <si>
    <t>Contingency</t>
  </si>
  <si>
    <t>Management Fees</t>
  </si>
  <si>
    <t>TOTAL BUDGET</t>
  </si>
  <si>
    <t>Base Date</t>
  </si>
  <si>
    <t>Notes:</t>
  </si>
  <si>
    <t>Overhead &amp; Profit (OH&amp;P)</t>
  </si>
  <si>
    <t>LOCATION:</t>
  </si>
  <si>
    <t>PROJECT TITLE:</t>
  </si>
  <si>
    <t>This worksheet references data from the [PBW] and [PBW_Summary] worksheets. It is intended to provide a quick budget estimate based on updated ENR Building Cost Index values when they are published in subsequent PBW templates. The current budget estimate is based on the Inflation Factor displayed in cells [A6] and [B17]. Assuming no other changes to the PBW content other than ENR Index values, the value in cell [B17] may be overwritten based on the new Inflation Factor contained in subsequent PBW templates. Simply open the newest PBW template and find the current Inflation Factor calculated for the specified Based Date and Bid Date in the [ENR] worksheet, which is located in the cell reference displayed in cell [A7]. Enter that new Inflation Factor value in cell [B17] in this workbook, and the new project budget estimate will be calculated and updated to current ENR Index standards.</t>
  </si>
  <si>
    <t>This worksheet references data from the [PBW] and [PBW_Summary] worksheets. It is intended to provide a quick budget estimate based on updated ENR Building Cost Index values when they are published in subsequent PBW templates. The current budget estimate is based on the Inflation Factor displayed in cells [A6] and [B17]. Changing the Inflation Date value in cell [A5], which defaults to the Projected Bid Date value from the [PBW] worksheet cell [H11], will change the Inflation Factor used in calculating the budget estimate in cells [A6] and [B17]. This methodology assumes no other changes to PBW content values other than the ENR Index values corresponding to the new Inflation Date.</t>
  </si>
  <si>
    <t>Construction Budget Total</t>
  </si>
  <si>
    <t>- Specify Additional Design Service</t>
  </si>
  <si>
    <t>- Audio-Visual and Computer Equipment</t>
  </si>
  <si>
    <t>- Commissioning (Level 1 or 2)</t>
  </si>
  <si>
    <t>6.  Furnishings, Fixtures, &amp; Equipment (FF&amp;E)</t>
  </si>
  <si>
    <t>- Furnishings, Fixtures, &amp; Equipment (FF&amp;E) Design Fee</t>
  </si>
  <si>
    <t>FURNISHINGS, FIXTURES, &amp; EQUIPMENT (FF&amp;E): CONTRACTOR FURNISHED, CONTRACTOR INSTALLED (CFCI)</t>
  </si>
  <si>
    <t xml:space="preserve">  Furnishings, Fixtures, &amp; Equipment (FF&amp;E): Owner Furnished, Contractor Installed (OFCI)</t>
  </si>
  <si>
    <t>Furnishings, Fixtures, &amp; Equipment (FF&amp;E): Owner Furnished, Owner Installed (OFOI)</t>
  </si>
  <si>
    <t>- Movable &amp; Special Equipment Allowance (% of Construction $)</t>
  </si>
  <si>
    <t>- FF&amp;E: OFCI (from #3 above)</t>
  </si>
  <si>
    <t>FF&amp;E: CFCI</t>
  </si>
  <si>
    <t>FF&amp;E: OFCI</t>
  </si>
  <si>
    <t>FF&amp;E: OFOI</t>
  </si>
  <si>
    <t>ADDITIONAL CONSTRUCTION &amp; REMODELING COST SUBTOTAL</t>
  </si>
  <si>
    <t>CONSTRUCTION &amp; REMODELING COST SUBTOTAL</t>
  </si>
  <si>
    <t>NEW CONSTRUCTION &amp; REMODELING COST SUBTOTAL</t>
  </si>
  <si>
    <t>NEW CONSTRUCTION COST SUBTOTAL</t>
  </si>
  <si>
    <t>DEMOLITION (RAZING GROSS SQUARE FOOTAGE)</t>
  </si>
  <si>
    <t>DFDM $/GSF</t>
  </si>
  <si>
    <t>FURNISHINGS, FIXTURES, &amp; EQUIPMENT (FF&amp;E)</t>
  </si>
  <si>
    <t>OWNER FURNISHED, CONTRACTOR INSTALLED (OFCI)</t>
  </si>
  <si>
    <t>OWNER FURNISHED, OWNER INSTALLED (OFOI)</t>
  </si>
  <si>
    <t>SF</t>
  </si>
  <si>
    <t>TELESCOPING BLEACHERS</t>
  </si>
  <si>
    <t>EACH</t>
  </si>
  <si>
    <t>AUTOCLAVE</t>
  </si>
  <si>
    <t>EQUIPMENT</t>
  </si>
  <si>
    <t>ATHLETICS/RECREATION</t>
  </si>
  <si>
    <r>
      <rPr>
        <b/>
        <u/>
        <sz val="10"/>
        <color rgb="FFC00000"/>
        <rFont val="Arial Narrow"/>
        <family val="2"/>
      </rPr>
      <t>NOTE:</t>
    </r>
    <r>
      <rPr>
        <sz val="10"/>
        <color rgb="FFC00000"/>
        <rFont val="Arial Narrow"/>
        <family val="2"/>
      </rPr>
      <t xml:space="preserve"> If a 3rd party detailed budget estimate already exists in some other format, it is recommended those construction costs be entered as a lump sum item and the detailed budget estimate be referenced in the line item description vs. recreating the detail in this budget worksheet. If a 3rd party detailed budget estimate is not taken in whole as the basis for this budget estimate, the pertinent detail should be recreated here and be easily referenced and discoverable in the 3rd party estimate in terms of line item organization and terminology.</t>
    </r>
  </si>
  <si>
    <r>
      <t>There are two new worksheets in the PBW template…</t>
    </r>
    <r>
      <rPr>
        <b/>
        <sz val="10"/>
        <rFont val="Arial Narrow"/>
        <family val="2"/>
      </rPr>
      <t>Quick Inflation Date Update</t>
    </r>
    <r>
      <rPr>
        <sz val="10"/>
        <rFont val="Arial Narrow"/>
        <family val="2"/>
      </rPr>
      <t xml:space="preserve"> (QIDU) and </t>
    </r>
    <r>
      <rPr>
        <b/>
        <sz val="10"/>
        <rFont val="Arial Narrow"/>
        <family val="2"/>
      </rPr>
      <t xml:space="preserve">Quick Inflation Factor Update </t>
    </r>
    <r>
      <rPr>
        <sz val="10"/>
        <rFont val="Arial Narrow"/>
        <family val="2"/>
      </rPr>
      <t xml:space="preserve">(QIFU). Both are designed and intended to allow quick budget estimate updates without having to recreate the entire PBW detail. The </t>
    </r>
    <r>
      <rPr>
        <b/>
        <sz val="10"/>
        <rFont val="Arial Narrow"/>
        <family val="2"/>
      </rPr>
      <t>Quick Inflation Date Update</t>
    </r>
    <r>
      <rPr>
        <sz val="10"/>
        <rFont val="Arial Narrow"/>
        <family val="2"/>
      </rPr>
      <t xml:space="preserve"> worksheet can be used to publish a current budget estimate without all the projected and estimated inflation, for example, at the time the A/E Design Team is hired. The inflation has to be earned rather than assumed as part of the base project budget. The </t>
    </r>
    <r>
      <rPr>
        <b/>
        <sz val="10"/>
        <rFont val="Arial Narrow"/>
        <family val="2"/>
      </rPr>
      <t>Quick Inflation Factor Update</t>
    </r>
    <r>
      <rPr>
        <sz val="10"/>
        <rFont val="Arial Narrow"/>
        <family val="2"/>
      </rPr>
      <t xml:space="preserve"> worksheet can be used to re-estimate the entire project budget estimate using a corrected and actual ENR Index inflation factor value from a future PBW template edition (for example 12-18 months post original PBW creation). </t>
    </r>
  </si>
  <si>
    <t>$63,000 - $75,000/ bed</t>
  </si>
  <si>
    <t>ADDITIONAL CONSTRUCTION &amp; REMODELING COSTS</t>
  </si>
  <si>
    <t>Construction Cost (Unescalated)</t>
  </si>
  <si>
    <t>Hazardous Materials (Unescalated)</t>
  </si>
  <si>
    <t>Construction Total (Unescalated)</t>
  </si>
  <si>
    <t>Total Construction (Unescalated)</t>
  </si>
  <si>
    <t>Total Construction (Escalated)</t>
  </si>
  <si>
    <t>FF&amp;E: Owner Furnished, Contractor Installed (OFCI)</t>
  </si>
  <si>
    <t>FF&amp;E: Owner Furnished, Owner Installed (OFOI)</t>
  </si>
  <si>
    <t>Furnishings, Fixtures, &amp; Equipment Budget (FF&amp;E) Total</t>
  </si>
  <si>
    <t>REVISED ESTIMATE</t>
  </si>
  <si>
    <t>ORIGINAL ESTIMATE</t>
  </si>
  <si>
    <t>Food Service</t>
  </si>
  <si>
    <t>Physical Education</t>
  </si>
  <si>
    <t>Agricultural</t>
  </si>
  <si>
    <t>Service and Maintenance</t>
  </si>
  <si>
    <t>Storage (Prefabricated Metal)</t>
  </si>
  <si>
    <r>
      <rPr>
        <b/>
        <sz val="10"/>
        <rFont val="Arial Narrow"/>
        <family val="2"/>
      </rPr>
      <t>Movable and Special Equipment</t>
    </r>
    <r>
      <rPr>
        <sz val="10"/>
        <rFont val="Arial Narrow"/>
        <family val="2"/>
      </rPr>
      <t xml:space="preserve"> is handled with more flexibility and user control than previous PBW template editions. This type of budget information have now been retitled </t>
    </r>
    <r>
      <rPr>
        <b/>
        <sz val="10"/>
        <rFont val="Arial Narrow"/>
        <family val="2"/>
      </rPr>
      <t xml:space="preserve">Furnishings, Fixtures, and Equipment </t>
    </r>
    <r>
      <rPr>
        <sz val="10"/>
        <rFont val="Arial Narrow"/>
        <family val="2"/>
      </rPr>
      <t xml:space="preserve">to align with industry terminology standards. There are now three methods in which to enter this type of information: (1) on Page 2, at the bottom, under the section titled </t>
    </r>
    <r>
      <rPr>
        <b/>
        <sz val="10"/>
        <rFont val="Arial Narrow"/>
        <family val="2"/>
      </rPr>
      <t>Contractor Furnished, Contractor Installed (CFCI)</t>
    </r>
    <r>
      <rPr>
        <sz val="10"/>
        <rFont val="Arial Narrow"/>
        <family val="2"/>
      </rPr>
      <t xml:space="preserve">. This section is integrated into the construction budget estimate and therefore has the full Design Fee and pertinent Additional Design Fees applied to it. (2) on Page 3, under </t>
    </r>
    <r>
      <rPr>
        <b/>
        <sz val="10"/>
        <rFont val="Arial Narrow"/>
        <family val="2"/>
      </rPr>
      <t>Section 3 titled Additional Design Services</t>
    </r>
    <r>
      <rPr>
        <sz val="10"/>
        <rFont val="Arial Narrow"/>
        <family val="2"/>
      </rPr>
      <t xml:space="preserve">, there is a subsection for </t>
    </r>
    <r>
      <rPr>
        <b/>
        <sz val="10"/>
        <rFont val="Arial Narrow"/>
        <family val="2"/>
      </rPr>
      <t>Owner Furnished, Contractor Installed (OFCI)</t>
    </r>
    <r>
      <rPr>
        <sz val="10"/>
        <rFont val="Arial Narrow"/>
        <family val="2"/>
      </rPr>
      <t xml:space="preserve"> items. These are items that have an additional design fee applied to the summation of items listed here...either for selection and specification; or selection, specification, design/layout, and procurement assistance; or something in-between. (3) on Page 3, under </t>
    </r>
    <r>
      <rPr>
        <b/>
        <sz val="10"/>
        <rFont val="Arial Narrow"/>
        <family val="2"/>
      </rPr>
      <t>Section 6 titled Furnishings, Fixtures, and Equipment</t>
    </r>
    <r>
      <rPr>
        <sz val="10"/>
        <rFont val="Arial Narrow"/>
        <family val="2"/>
      </rPr>
      <t xml:space="preserve">, there is a subsection for </t>
    </r>
    <r>
      <rPr>
        <b/>
        <sz val="10"/>
        <rFont val="Arial Narrow"/>
        <family val="2"/>
      </rPr>
      <t>Owner Furnished, Owner Installed (OFOI)</t>
    </r>
    <r>
      <rPr>
        <sz val="10"/>
        <rFont val="Arial Narrow"/>
        <family val="2"/>
      </rPr>
      <t xml:space="preserve"> items that have no design fees applied, but are using project funds to be procured and installed by the institution. </t>
    </r>
  </si>
  <si>
    <t>Occupancy Date:</t>
  </si>
  <si>
    <t>Date Prepared:</t>
  </si>
  <si>
    <t>Prepared By:</t>
  </si>
  <si>
    <t>ENR Index #</t>
  </si>
  <si>
    <t>Month/Year</t>
  </si>
  <si>
    <t>1. HEADING #1</t>
  </si>
  <si>
    <t>2. HEADING #2</t>
  </si>
  <si>
    <t>HEADING #2, LINE ITEM #1</t>
  </si>
  <si>
    <t>…OR…</t>
  </si>
  <si>
    <r>
      <t xml:space="preserve">REMODELING COST SUBTOTAL </t>
    </r>
    <r>
      <rPr>
        <sz val="8"/>
        <color theme="0" tint="-0.34998626667073579"/>
        <rFont val="Arial Narrow"/>
        <family val="2"/>
      </rPr>
      <t>(cell H63 will highlight red if Remodeling by Space Type and Remodeling by Trade sections are both used)</t>
    </r>
  </si>
  <si>
    <r>
      <t xml:space="preserve">This budget worksheet should be flexible enough for all capital project request types: </t>
    </r>
    <r>
      <rPr>
        <i/>
        <sz val="10"/>
        <rFont val="Arial Narrow"/>
        <family val="2"/>
      </rPr>
      <t>Small Projects, All Agency Projects, Instructional Space Projects, Minor Projects, enumerated Major Projects, and UW Managed projects</t>
    </r>
    <r>
      <rPr>
        <sz val="10"/>
        <rFont val="Arial Narrow"/>
        <family val="2"/>
      </rPr>
      <t>.</t>
    </r>
    <r>
      <rPr>
        <sz val="10"/>
        <color rgb="FF0000FF"/>
        <rFont val="Arial Narrow"/>
        <family val="2"/>
      </rPr>
      <t xml:space="preserve"> </t>
    </r>
    <r>
      <rPr>
        <sz val="10"/>
        <rFont val="Arial Narrow"/>
        <family val="2"/>
      </rPr>
      <t xml:space="preserve">All </t>
    </r>
    <r>
      <rPr>
        <sz val="10"/>
        <color rgb="FFC00000"/>
        <rFont val="Arial Narrow"/>
        <family val="2"/>
      </rPr>
      <t>dark red text fields</t>
    </r>
    <r>
      <rPr>
        <sz val="10"/>
        <rFont val="Arial Narrow"/>
        <family val="2"/>
      </rPr>
      <t xml:space="preserve"> are unlocked and intended for user entry and definition. All other fields are locked and protected from user entry or modification.</t>
    </r>
  </si>
  <si>
    <r>
      <t>This worksheet allows renovation costs estimates to be conducted using a "</t>
    </r>
    <r>
      <rPr>
        <b/>
        <sz val="10"/>
        <rFont val="Arial Narrow"/>
        <family val="2"/>
      </rPr>
      <t>Remodeling by Space Type</t>
    </r>
    <r>
      <rPr>
        <sz val="10"/>
        <rFont val="Arial Narrow"/>
        <family val="2"/>
      </rPr>
      <t>" and/or "</t>
    </r>
    <r>
      <rPr>
        <b/>
        <sz val="10"/>
        <rFont val="Arial Narrow"/>
        <family val="2"/>
      </rPr>
      <t>Remodeling by Trade</t>
    </r>
    <r>
      <rPr>
        <sz val="10"/>
        <rFont val="Arial Narrow"/>
        <family val="2"/>
      </rPr>
      <t xml:space="preserve">" methodologies. Using both methodologies in a single budget estimate would be unusual and could lead to duplicative cost estimates. </t>
    </r>
    <r>
      <rPr>
        <b/>
        <sz val="10"/>
        <color rgb="FFC00000"/>
        <rFont val="Arial Narrow"/>
        <family val="2"/>
      </rPr>
      <t>Use with caution.</t>
    </r>
    <r>
      <rPr>
        <b/>
        <sz val="10"/>
        <color rgb="FFAC1B5A"/>
        <rFont val="Arial Narrow"/>
        <family val="2"/>
      </rPr>
      <t xml:space="preserve"> </t>
    </r>
    <r>
      <rPr>
        <sz val="10"/>
        <rFont val="Arial Narrow"/>
        <family val="2"/>
      </rPr>
      <t xml:space="preserve">The "Remodeling by Trade" line items now include a </t>
    </r>
    <r>
      <rPr>
        <b/>
        <sz val="10"/>
        <rFont val="Arial Narrow"/>
        <family val="2"/>
      </rPr>
      <t>Notes</t>
    </r>
    <r>
      <rPr>
        <sz val="10"/>
        <rFont val="Arial Narrow"/>
        <family val="2"/>
      </rPr>
      <t xml:space="preserve"> field for user text entry to clarify, further define, and/or re-define the standard category terms. The Notes field should be used when the standard unit costs are overwritten by the user. Cel H63 will automatically highlight in red if both "</t>
    </r>
    <r>
      <rPr>
        <b/>
        <sz val="10"/>
        <rFont val="Arial Narrow"/>
        <family val="2"/>
      </rPr>
      <t>Remodeling by Space Type</t>
    </r>
    <r>
      <rPr>
        <sz val="10"/>
        <rFont val="Arial Narrow"/>
        <family val="2"/>
      </rPr>
      <t>" and "</t>
    </r>
    <r>
      <rPr>
        <b/>
        <sz val="10"/>
        <rFont val="Arial Narrow"/>
        <family val="2"/>
      </rPr>
      <t>Remodeling by Trade</t>
    </r>
    <r>
      <rPr>
        <sz val="10"/>
        <rFont val="Arial Narrow"/>
        <family val="2"/>
      </rPr>
      <t>" section are used.</t>
    </r>
  </si>
  <si>
    <t>Escalation Delta (Manual - Calculated):</t>
  </si>
  <si>
    <r>
      <t>Since most capital projects require feasibility and/or pre-design estimates, the budget worksheet has been modified to offer more flexibility in the arrangement and organization of the line items. Page 2 is now structured to allow the greatest flexibility to insert line items. Smart code identifiers (</t>
    </r>
    <r>
      <rPr>
        <i/>
        <sz val="10"/>
        <rFont val="Arial Narrow"/>
        <family val="2"/>
      </rPr>
      <t>i.e. MasterFormat or UniFormat</t>
    </r>
    <r>
      <rPr>
        <sz val="10"/>
        <rFont val="Arial Narrow"/>
        <family val="2"/>
      </rPr>
      <t>) can be entered; quantity/unit of measure/unit costs must be entered to calculate the line item cost; and the user determines the organization headings and can arrange the information to their specification. See Note #6 below for further information.</t>
    </r>
  </si>
  <si>
    <t>Hazardous Materials:</t>
  </si>
  <si>
    <t>Construction:</t>
  </si>
  <si>
    <t>Total Construction:</t>
  </si>
  <si>
    <t>Design Fees (Basic):</t>
  </si>
  <si>
    <t>Design Fees (Other):</t>
  </si>
  <si>
    <t>Total Design Fees:</t>
  </si>
  <si>
    <t>Contingency:</t>
  </si>
  <si>
    <t>Management Fees:</t>
  </si>
  <si>
    <t>Furnishings/Fixtures/Eqpt:</t>
  </si>
  <si>
    <t>Total Budget Estimate:</t>
  </si>
  <si>
    <t>$</t>
  </si>
  <si>
    <t>CAPITAL PROJECT REQUEST "Project Budget" Table</t>
  </si>
  <si>
    <r>
      <t xml:space="preserve">At the bottom of the </t>
    </r>
    <r>
      <rPr>
        <b/>
        <sz val="10"/>
        <rFont val="Arial Narrow"/>
        <family val="2"/>
      </rPr>
      <t>PBW_Summary</t>
    </r>
    <r>
      <rPr>
        <sz val="10"/>
        <rFont val="Arial Narrow"/>
        <family val="2"/>
      </rPr>
      <t xml:space="preserve"> worksheet is a table which can be selected, copied, and pasted directly into the Capital Project Request's Project Budget section. The table  formatting is identical in cell and font size, style, and color.</t>
    </r>
  </si>
  <si>
    <t>Multi-Purpose</t>
  </si>
  <si>
    <t>Design:</t>
  </si>
  <si>
    <t>DFDM Fee</t>
  </si>
  <si>
    <t>Equipment</t>
  </si>
  <si>
    <t>TOTAL:</t>
  </si>
  <si>
    <t>SBC "CAPITAL BUDGET REQUEST" Table</t>
  </si>
  <si>
    <t>REMODELING COST SUBTOTAL (cell H63 will highlight red if Remodeling by Space Type and Remodeling by Trade sections are both used)</t>
  </si>
  <si>
    <t>LINE 3B</t>
  </si>
  <si>
    <t>LINE 1</t>
  </si>
  <si>
    <t>LINE 0</t>
  </si>
  <si>
    <t>LINE 3A</t>
  </si>
  <si>
    <t>LINE 4</t>
  </si>
  <si>
    <t>Estimated Inflation</t>
  </si>
  <si>
    <t>UNINFLATED</t>
  </si>
  <si>
    <t>INFLATED</t>
  </si>
  <si>
    <t>AccessGov Data</t>
  </si>
  <si>
    <t>ENR Index Value</t>
  </si>
  <si>
    <t>Inflation Factor</t>
  </si>
  <si>
    <t>Inflation Amount</t>
  </si>
  <si>
    <t>Inflated Project Budget</t>
  </si>
  <si>
    <t>Delta UWSA Calculation vs. DFD Estimation</t>
  </si>
  <si>
    <t>DEMOLITION SUBTOTAL</t>
  </si>
  <si>
    <t>DESIGN CONTINGENCY</t>
  </si>
  <si>
    <t>OVERHEAD &amp; PROFIT (OH&amp;P)</t>
  </si>
  <si>
    <t>UNESCALATED CONSTRUCTION COST SUBTOTAL</t>
  </si>
  <si>
    <t>ESCALATED CONSTRUCTION COST SUBTOTAL</t>
  </si>
  <si>
    <t>ESCALATION INCLUDED IN CONSTRUCTION COST SUBTOTAL</t>
  </si>
  <si>
    <t>CONSTRUCTION COST ANALYSIS: CONSTRUCTION COST ESCALATION VALUE CALCULATION</t>
  </si>
  <si>
    <t>FURNISHINGS, FIXTURES, &amp; EQUIPMENT COST ANALYSIS</t>
  </si>
  <si>
    <t>FF&amp;E: CONTRACTOR FURNISHED, CONTRACTOR INSTALLED (CFCI) SUBTOTAL</t>
  </si>
  <si>
    <t>FF&amp;E: CONTRACTOR FURNISHED, CONTRACTOR INSTALLED (CFCI)</t>
  </si>
  <si>
    <t>FF&amp;E: OWNER FURNISHED, CONTRACTOR INSTALLED (OFCI)</t>
  </si>
  <si>
    <t>FF&amp;E: OWNER FURNISHED, OWNER INSTALLED (OFOI)</t>
  </si>
  <si>
    <t>FF&amp;E:OFCI DESIGN FEE</t>
  </si>
  <si>
    <t>FF&amp;E:OFOI ALLOWANCE</t>
  </si>
  <si>
    <t>FURNISHINGS, FIXTURES, &amp; EQUIPMENT (FF&amp;E) SUBTOTAL</t>
  </si>
  <si>
    <t>ARCHITECT/ENGINEER DESIGN SERVICES COST ANALYSIS</t>
  </si>
  <si>
    <t>BASIC SERVICES</t>
  </si>
  <si>
    <t>REIMBURSIBLE COSTS</t>
  </si>
  <si>
    <t>ARCHITECT/ENGINEER BASIC SERVICES SUBTOTAL</t>
  </si>
  <si>
    <t>PRE-DESIGN</t>
  </si>
  <si>
    <t>LEED CERTIFICATION</t>
  </si>
  <si>
    <t>COMMISSIONING</t>
  </si>
  <si>
    <t>EIS/EIA CONSULTANT</t>
  </si>
  <si>
    <t>CONSTRUCTION TESTING</t>
  </si>
  <si>
    <t>TESTING &amp; BALANCING</t>
  </si>
  <si>
    <t>CUSTOM LINE ITEMS SUBTOTAL</t>
  </si>
  <si>
    <t>ADDITIONAL DESIGN SERVICES SUBTOTAL</t>
  </si>
  <si>
    <t>Escalation Date:</t>
  </si>
  <si>
    <t>Escalation Date</t>
  </si>
  <si>
    <t>Escalation Date Index:</t>
  </si>
  <si>
    <t>Base Date Index:</t>
  </si>
  <si>
    <t>Escsalation Factor (Value)</t>
  </si>
  <si>
    <t>ENR Escalation Factor and Escalated Budget Estimate</t>
  </si>
  <si>
    <t>Escalation Factor (Value)</t>
  </si>
  <si>
    <t>Escalation Factor (Calculated):</t>
  </si>
  <si>
    <t>Escalation Factor (Manual):</t>
  </si>
  <si>
    <t>Escalation Factor</t>
  </si>
  <si>
    <t>Escalation Amount</t>
  </si>
  <si>
    <t>Escalated Project Budget</t>
  </si>
  <si>
    <t>Unescalated Project Budget</t>
  </si>
  <si>
    <t>2023-25 Capital Budget: Escalation Calculator</t>
  </si>
  <si>
    <t>The Base Date and Escalation Date cells can now use any combination of month and year (previous editions only allowed January or July) from January 2011 - December 2050. Consequently, the ENR Index lookup table has also been expanded to allow lookup of inflation values for any combination of Base Date and Escalation Date...this is most useful for future PBW template editions which will contain updated and actual/corrected ENR Index values vs. the projected estimates embedded in each edition of the template. There are three fields for ENR Escalation factors on Page 1. "Escalation (Calculated)" is a lookup of the inflation factor based on the Base Date and Escalation Date data entry values in this worksheet and the projections contained in the embedded ENR Index worksheet. "Escalation (Manual)" defaults to the "Escalation (Calculated)" value, but can be manually overwrtten by the user using a future PBW template with updated and corrected ENR values. Manual overrides below the default will highlight in red, above the default will highlight in yellow, and unchanged will highlight in green. "Escalation Delta (Manual - Calculated)" calculates the difference between the default value embedded in the ENR Index and the manual override. ENR Index values in BLACK TEXT are actual values, RED TEXT is projected/estimated based on the Annual Inflation Factor Estimate at the top of the worksheet.</t>
  </si>
  <si>
    <t>2023/25 Capital Budget: Inflation Summary</t>
  </si>
  <si>
    <t>2023/25 Capital Budget: Inflation Estimator</t>
  </si>
  <si>
    <t>Project Budget</t>
  </si>
  <si>
    <t>Enter the estimated project budget here</t>
  </si>
  <si>
    <t>Select the anticipated bid date from the drop down</t>
  </si>
  <si>
    <t>PROJECT TYPE</t>
  </si>
  <si>
    <t>PROJECT TYPE:</t>
  </si>
  <si>
    <t>AA</t>
  </si>
  <si>
    <t>IS</t>
  </si>
  <si>
    <t>MFR</t>
  </si>
  <si>
    <t>MP</t>
  </si>
  <si>
    <t>P&amp;D</t>
  </si>
  <si>
    <t>SP</t>
  </si>
  <si>
    <t>ALL AGENCY</t>
  </si>
  <si>
    <t>INSTRUCTIONAL SPACE</t>
  </si>
  <si>
    <t>MINOR FACILITIES RENEWAL</t>
  </si>
  <si>
    <t>MAJOR PROJECT</t>
  </si>
  <si>
    <t>PLANNING &amp; DESIGN</t>
  </si>
  <si>
    <t>SMALL PROJECT</t>
  </si>
  <si>
    <t>UNSPECIFIED</t>
  </si>
  <si>
    <t>DURATION</t>
  </si>
  <si>
    <t>Bid Date:</t>
  </si>
  <si>
    <t>Suspended acoustical ceiling panels only</t>
  </si>
  <si>
    <t>Updated unit cost from contractor</t>
  </si>
  <si>
    <t>23X8X</t>
  </si>
  <si>
    <t>HEADING #2, LINE ITEM #4</t>
  </si>
  <si>
    <t>HEADING #3, LINE ITEM #1</t>
  </si>
  <si>
    <t>HEADING #3, LINE ITEM #2</t>
  </si>
  <si>
    <t>HEADING #3, LINE ITEM #3</t>
  </si>
  <si>
    <t>HEADING #3, LINE ITEM #4</t>
  </si>
  <si>
    <t>VF</t>
  </si>
  <si>
    <t>ACRES</t>
  </si>
  <si>
    <t>CLIMBING WALL &amp; ROPES COURSE</t>
  </si>
  <si>
    <t>- Hazardous Materials Design</t>
  </si>
  <si>
    <t>- Geotechnical Survey</t>
  </si>
  <si>
    <t>- Information/Library Kiosks (Mobile)</t>
  </si>
  <si>
    <t>- Laboratory Casework/Workstations (Mobile)</t>
  </si>
  <si>
    <t>- Dining Booths</t>
  </si>
  <si>
    <t>- Waste Management/Recycling Equipment</t>
  </si>
  <si>
    <t>CAPITAL PROJECT REQUEST "Project Budget" Table (NO INFLATION)</t>
  </si>
  <si>
    <t>START A</t>
  </si>
  <si>
    <t>END A</t>
  </si>
  <si>
    <t>START B</t>
  </si>
  <si>
    <t>END B</t>
  </si>
  <si>
    <t>YEAR</t>
  </si>
  <si>
    <t>MONTH</t>
  </si>
  <si>
    <t>COMBO</t>
  </si>
  <si>
    <t>DATE</t>
  </si>
  <si>
    <t>ANNUAL A</t>
  </si>
  <si>
    <t>MONTHLY A</t>
  </si>
  <si>
    <t>ANNUAL B</t>
  </si>
  <si>
    <t>MONTHLY B</t>
  </si>
  <si>
    <t>RATE</t>
  </si>
  <si>
    <t>BASE</t>
  </si>
  <si>
    <t>BID</t>
  </si>
  <si>
    <t>INFLATION</t>
  </si>
  <si>
    <t>FACTOR</t>
  </si>
  <si>
    <t>INDEX</t>
  </si>
  <si>
    <t>TRADE BASE</t>
  </si>
  <si>
    <t>NEW BASE</t>
  </si>
  <si>
    <t>DEMO BASE</t>
  </si>
  <si>
    <t>CAPACITY</t>
  </si>
  <si>
    <t>COST BASE</t>
  </si>
  <si>
    <t>INDEPENDENT INFLATION FACTOR SCENARIO BUILDER INFORMATION</t>
  </si>
  <si>
    <t>3, HEADING #3</t>
  </si>
  <si>
    <t>PRE-DESIGN BUDGET ESTIMATE (04/01/2022, pp. 88-99)</t>
  </si>
  <si>
    <t>FURNISHINGS</t>
  </si>
  <si>
    <t>- Loading dock Equipment</t>
  </si>
  <si>
    <t>- Bike Racks, Site Furnshings, and Flag Poles</t>
  </si>
  <si>
    <t>$/GSF RANGE</t>
  </si>
  <si>
    <t>$/STALL RANGE</t>
  </si>
  <si>
    <t>LOW END</t>
  </si>
  <si>
    <t>HIGH END</t>
  </si>
  <si>
    <t>SPACE CATEGORY</t>
  </si>
  <si>
    <t>EFFICIENCY</t>
  </si>
  <si>
    <t>COMMENTS and NOTES</t>
  </si>
  <si>
    <t>WORKSHEET INDEX (left to right worksheets organized top to bottom below)</t>
  </si>
  <si>
    <t>PBW BASE</t>
  </si>
  <si>
    <t>PBW BID</t>
  </si>
  <si>
    <t>Tab</t>
  </si>
  <si>
    <r>
      <rPr>
        <b/>
        <sz val="10"/>
        <rFont val="Arial Narrow"/>
        <family val="2"/>
      </rPr>
      <t xml:space="preserve"> SAMPLE: </t>
    </r>
    <r>
      <rPr>
        <sz val="10"/>
        <rFont val="Arial Narrow"/>
        <family val="2"/>
      </rPr>
      <t xml:space="preserve"> Guide and Sample of the PBW Worksheet, intended to show completed template and formatting/nomenclature standards.</t>
    </r>
  </si>
  <si>
    <r>
      <rPr>
        <b/>
        <sz val="10"/>
        <rFont val="Arial Narrow"/>
        <family val="2"/>
      </rPr>
      <t xml:space="preserve"> ENR: </t>
    </r>
    <r>
      <rPr>
        <sz val="10"/>
        <rFont val="Arial Narrow"/>
        <family val="2"/>
      </rPr>
      <t xml:space="preserve"> Engineering New Record's Building Cost Index History and Forecast based on anticipated inflation rates.</t>
    </r>
  </si>
  <si>
    <r>
      <rPr>
        <b/>
        <sz val="10"/>
        <rFont val="Arial Narrow"/>
        <family val="2"/>
      </rPr>
      <t xml:space="preserve"> LOOKUPS:  L</t>
    </r>
    <r>
      <rPr>
        <sz val="10"/>
        <rFont val="Arial Narrow"/>
        <family val="2"/>
      </rPr>
      <t>ookup values for PBW Revision Date and currentness, Project Type selections, and Duration by Project Size Matrix.</t>
    </r>
  </si>
  <si>
    <r>
      <rPr>
        <b/>
        <sz val="10"/>
        <rFont val="Arial Narrow"/>
        <family val="2"/>
      </rPr>
      <t xml:space="preserve"> COST GUIDELINES: </t>
    </r>
    <r>
      <rPr>
        <sz val="10"/>
        <rFont val="Arial Narrow"/>
        <family val="2"/>
      </rPr>
      <t xml:space="preserve"> Unit construction cost ranges and reference for various building space types. Auto-inflates costs based on ENR.</t>
    </r>
  </si>
  <si>
    <r>
      <rPr>
        <b/>
        <sz val="10"/>
        <rFont val="Arial Narrow"/>
        <family val="2"/>
      </rPr>
      <t xml:space="preserve"> Quick Inflation Factor Update:</t>
    </r>
    <r>
      <rPr>
        <sz val="10"/>
        <rFont val="Arial Narrow"/>
        <family val="2"/>
      </rPr>
      <t xml:space="preserve">  Maps content from PBW worksheet, intended for scenario planning w/o modifying PBW worksheet.</t>
    </r>
  </si>
  <si>
    <r>
      <rPr>
        <b/>
        <sz val="10"/>
        <rFont val="Arial Narrow"/>
        <family val="2"/>
      </rPr>
      <t xml:space="preserve"> Quick Inflation Date Update:</t>
    </r>
    <r>
      <rPr>
        <sz val="10"/>
        <rFont val="Arial Narrow"/>
        <family val="2"/>
      </rPr>
      <t xml:space="preserve">  Maps content from PBW worksheet, intended for scenario planning w/o modifying PBW worksheet.</t>
    </r>
  </si>
  <si>
    <r>
      <rPr>
        <b/>
        <sz val="10"/>
        <rFont val="Arial Narrow"/>
        <family val="2"/>
      </rPr>
      <t xml:space="preserve"> PBW_Summary: </t>
    </r>
    <r>
      <rPr>
        <sz val="10"/>
        <rFont val="Arial Narrow"/>
        <family val="2"/>
      </rPr>
      <t xml:space="preserve"> Summarizes and maps content from PBW worksheet.</t>
    </r>
  </si>
  <si>
    <r>
      <rPr>
        <b/>
        <sz val="10"/>
        <rFont val="Arial Narrow"/>
        <family val="2"/>
      </rPr>
      <t xml:space="preserve"> PBW: </t>
    </r>
    <r>
      <rPr>
        <sz val="10"/>
        <rFont val="Arial Narrow"/>
        <family val="2"/>
      </rPr>
      <t xml:space="preserve"> Project Budget Worksheet template and primary worksheet intended for user entry/modification.</t>
    </r>
  </si>
  <si>
    <r>
      <rPr>
        <b/>
        <sz val="10"/>
        <rFont val="Arial Narrow"/>
        <family val="2"/>
      </rPr>
      <t xml:space="preserve"> PBW_Summary_NoInflation: </t>
    </r>
    <r>
      <rPr>
        <sz val="10"/>
        <rFont val="Arial Narrow"/>
        <family val="2"/>
      </rPr>
      <t xml:space="preserve"> Summarizes and maps content from PBW_NoInflation worksheet.</t>
    </r>
  </si>
  <si>
    <r>
      <rPr>
        <b/>
        <sz val="10"/>
        <rFont val="Arial Narrow"/>
        <family val="2"/>
      </rPr>
      <t xml:space="preserve"> PBW_NoInflation:</t>
    </r>
    <r>
      <rPr>
        <sz val="10"/>
        <rFont val="Arial Narrow"/>
        <family val="2"/>
      </rPr>
      <t xml:space="preserve">  Maps content from PBW worksheet and changes Escalation Factor to 1.0000 to remove inflation.</t>
    </r>
  </si>
  <si>
    <r>
      <rPr>
        <b/>
        <sz val="10"/>
        <rFont val="Arial Narrow"/>
        <family val="2"/>
      </rPr>
      <t xml:space="preserve"> DFD Inflation Estimation Tool: </t>
    </r>
    <r>
      <rPr>
        <sz val="10"/>
        <rFont val="Arial Narrow"/>
        <family val="2"/>
      </rPr>
      <t xml:space="preserve"> DFD's 2023-25 inflation estimate worksheet used to calculate amount of inflation in each request.</t>
    </r>
  </si>
  <si>
    <r>
      <rPr>
        <b/>
        <sz val="10"/>
        <rFont val="Arial Narrow"/>
        <family val="2"/>
      </rPr>
      <t xml:space="preserve"> DFD Inflation Summary:</t>
    </r>
    <r>
      <rPr>
        <sz val="10"/>
        <rFont val="Arial Narrow"/>
        <family val="2"/>
      </rPr>
      <t xml:space="preserve">  DFD's lookup worksheet for inflation calculations based on July 2022 Base Date and antcipated Bid Date.</t>
    </r>
  </si>
  <si>
    <r>
      <rPr>
        <b/>
        <sz val="10"/>
        <rFont val="Arial Narrow"/>
        <family val="2"/>
      </rPr>
      <t xml:space="preserve"> UWSA Escalation Calculation:</t>
    </r>
    <r>
      <rPr>
        <sz val="10"/>
        <rFont val="Arial Narrow"/>
        <family val="2"/>
      </rPr>
      <t xml:space="preserve">  Maps content from PBW_NoInflation and PBW worksheets.</t>
    </r>
  </si>
  <si>
    <r>
      <rPr>
        <b/>
        <sz val="10"/>
        <rFont val="Arial Narrow"/>
        <family val="2"/>
      </rPr>
      <t xml:space="preserve"> READ ME:</t>
    </r>
    <r>
      <rPr>
        <sz val="10"/>
        <rFont val="Arial Narrow"/>
        <family val="2"/>
      </rPr>
      <t xml:space="preserve">  Provides Worksheet Index and some narrative directions and references to template contents and intents.</t>
    </r>
  </si>
  <si>
    <r>
      <t>Bid Date (</t>
    </r>
    <r>
      <rPr>
        <i/>
        <sz val="10"/>
        <rFont val="Arial Narrow"/>
        <family val="2"/>
      </rPr>
      <t>can be manually overwritten</t>
    </r>
    <r>
      <rPr>
        <sz val="10"/>
        <rFont val="Arial Narrow"/>
        <family val="2"/>
      </rPr>
      <t>)</t>
    </r>
  </si>
  <si>
    <t>BASE DATE</t>
  </si>
  <si>
    <t>BID DATE</t>
  </si>
  <si>
    <t>DEMOLITION (RAZING GROSS SQUARE FOOTAGE) INFORMATION [PBW WORKSHEET]</t>
  </si>
  <si>
    <t>REMODELING BY TRADE INFORMATION [PBW WORKSHEET]</t>
  </si>
  <si>
    <t>UNIT COST ESTIMATE INFORMATION [COST GUIDELINES WORKSHEET]</t>
  </si>
  <si>
    <t>INFLATION DATE UPDATE INFORMATION [QUICK INFLATION DATE UPDATE WORKSHEET]</t>
  </si>
  <si>
    <t>PROJECT REQUEST INFORMATION [PBW WORKSHEET]</t>
  </si>
  <si>
    <t>ENR Index</t>
  </si>
  <si>
    <t>KEY</t>
  </si>
  <si>
    <t>TEXT</t>
  </si>
  <si>
    <t>ACTUAL ENR INDEX VALUE (DATA ENTRY)</t>
  </si>
  <si>
    <t>ESTIMATED ENR INDEX VALUE (FORMULA)</t>
  </si>
  <si>
    <t>● Fine Arts Instructional Laboratory</t>
  </si>
  <si>
    <t>● Instructional Dry Laboratory</t>
  </si>
  <si>
    <t>● Instructional Wet Laboratory</t>
  </si>
  <si>
    <t>● Research Laboratory</t>
  </si>
  <si>
    <t>● Animal Space</t>
  </si>
  <si>
    <t>● Computer Laboratory</t>
  </si>
  <si>
    <t>● Instructional Greenhouse</t>
  </si>
  <si>
    <t>● Research Greenhouse</t>
  </si>
  <si>
    <t>● 1 story</t>
  </si>
  <si>
    <t>● 2-4 stories</t>
  </si>
  <si>
    <t>● Arena</t>
  </si>
  <si>
    <t>● Field House</t>
  </si>
  <si>
    <t>● Gymnasium/Track</t>
  </si>
  <si>
    <t>● Pool</t>
  </si>
  <si>
    <t>● Semi-Suite Doubles (Type 2)</t>
  </si>
  <si>
    <t>● Suite Style  (Type 3)</t>
  </si>
  <si>
    <t>● Animal Housing</t>
  </si>
  <si>
    <t>● Hay Storage</t>
  </si>
  <si>
    <t>● Unheated</t>
  </si>
  <si>
    <t>● Heated</t>
  </si>
  <si>
    <t>● Freestanding ramp</t>
  </si>
  <si>
    <t>● Ramp beneath building</t>
  </si>
  <si>
    <t>● Surface Lot</t>
  </si>
  <si>
    <t>NEW CONSTRUCTION &amp; REMODELING COST (from Page 1)</t>
  </si>
  <si>
    <t>DEMOLITION (from Page 2)</t>
  </si>
  <si>
    <t>ADDITIONAL CONSTRUCTION &amp; REMODELING COST (from Page 2)</t>
  </si>
  <si>
    <t>FF&amp;E: CFCI (from Page 2)</t>
  </si>
  <si>
    <t>CONSTRUCTION &amp; REMODELING COST SUBTOTAL (from Page 2)</t>
  </si>
  <si>
    <t>HAZARDOUS MATERIALS ABATEMENT (from Page 2)</t>
  </si>
  <si>
    <t>Unescalated Construction Cost Subtotal</t>
  </si>
  <si>
    <t>Escalation Factor (from Page 1)</t>
  </si>
  <si>
    <t>Basic Services (Calculated % of Construction $)</t>
  </si>
  <si>
    <t>Basic Services (Enter Direct $ for Basic A/E Fees)</t>
  </si>
  <si>
    <t>Reimbursible costs</t>
  </si>
  <si>
    <t>Pre-design</t>
  </si>
  <si>
    <t>Commissioning (Level 1 or 2)</t>
  </si>
  <si>
    <t>EIS/EIA consultant</t>
  </si>
  <si>
    <t>Construction Testing</t>
  </si>
  <si>
    <t>Testing &amp; Balancing</t>
  </si>
  <si>
    <t>Specify Additional Design Service</t>
  </si>
  <si>
    <t>Furnishings, Fixtures, &amp; Equipment (FF&amp;E) Design Fee</t>
  </si>
  <si>
    <t>Audio-Visual and Computer Equipment</t>
  </si>
  <si>
    <t>Systems Furniture</t>
  </si>
  <si>
    <t>Specify FF&amp;E Title(s), Type(s), and Budget Estimate Lump Sum</t>
  </si>
  <si>
    <t>FF&amp;E: OFCI (from #3 above)</t>
  </si>
  <si>
    <t>Specify Equipment Title(s), Type(s), and Budget Estimate Lump Sum</t>
  </si>
  <si>
    <t>Surface Treatment</t>
  </si>
  <si>
    <t>Minor</t>
  </si>
  <si>
    <t>Partial</t>
  </si>
  <si>
    <t>Complete</t>
  </si>
  <si>
    <t>Special Laboratory Needs</t>
  </si>
  <si>
    <t>Heating, Ventilating, &amp; Air Conditioning</t>
  </si>
  <si>
    <t>Electrical</t>
  </si>
  <si>
    <t>Escalation Factor (Manual Override):</t>
  </si>
  <si>
    <t>Escalation Factor (NO INFLATION OPTION)</t>
  </si>
  <si>
    <t>Furnishings, Fixtures, &amp; Equipment (FF&amp;E): Owner Furnished, Contractor Installed (OFCI)</t>
  </si>
  <si>
    <t>Sustainable/Resilient Design</t>
  </si>
  <si>
    <t>Specify Eqpt Title(s), Type(s), &amp; Budget Estimate Lump Sum</t>
  </si>
  <si>
    <t>Movable/Special Equipment (% of Construction $)</t>
  </si>
  <si>
    <t>Movable &amp; Special Equipment (% of Construction $)</t>
  </si>
  <si>
    <t>General Conditions</t>
  </si>
  <si>
    <t>DFD $/GSF</t>
  </si>
  <si>
    <r>
      <t xml:space="preserve">If programming is not done by the agency, or if extensive program verification is required, an additional 0.1% to 1.5% should be added to the fee guidance shown above. 
</t>
    </r>
    <r>
      <rPr>
        <b/>
        <sz val="10"/>
        <rFont val="Arial Narrow"/>
        <family val="2"/>
      </rPr>
      <t>High Complexity:</t>
    </r>
    <r>
      <rPr>
        <sz val="10"/>
        <rFont val="Arial Narrow"/>
        <family val="2"/>
      </rPr>
      <t xml:space="preserve"> Most complex projects both in design and detail include buildings of specialized architectural character, memorial, historic or monumental nature requiring special study or analysis and/or involve complex programs, mechanical systems, code requirements, etc. Project types include auditorium/theaters, communication buildings, extended care facilities, complex engineering projects, laboratories, historical restoration, and museums.
</t>
    </r>
    <r>
      <rPr>
        <b/>
        <sz val="10"/>
        <rFont val="Arial Narrow"/>
        <family val="2"/>
      </rPr>
      <t>Average Complexity:</t>
    </r>
    <r>
      <rPr>
        <sz val="10"/>
        <rFont val="Arial Narrow"/>
        <family val="2"/>
      </rPr>
      <t xml:space="preserve"> Project types include readiness centers, building systems, maintenance shops, firing ranges, recreational facilities, teaching laboratories, medical offices &amp; clinics, laundry facilities, office buildings, site utilities, university centers, residence halls, and child day care facilities.
</t>
    </r>
    <r>
      <rPr>
        <b/>
        <sz val="10"/>
        <rFont val="Arial Narrow"/>
        <family val="2"/>
      </rPr>
      <t>Low Complexity:</t>
    </r>
    <r>
      <rPr>
        <sz val="10"/>
        <rFont val="Arial Narrow"/>
        <family val="2"/>
      </rPr>
      <t xml:space="preserve"> Projects are simple or repetitive construction without any great degree of special finish or design effort. May include projects where equipment purchase comprises a large portion of the construction budget. Project types include asbestos removal, building envelope repairs, roofing, life safety compliance, demolition, minimum security correctional centers, park shelters, warehouse, radio/television towers, service garage, and site work.</t>
    </r>
  </si>
  <si>
    <r>
      <rPr>
        <b/>
        <sz val="10"/>
        <rFont val="Arial Narrow"/>
        <family val="2"/>
      </rPr>
      <t>New Construction Design Fee Guidance</t>
    </r>
    <r>
      <rPr>
        <sz val="10"/>
        <rFont val="Courier New"/>
        <family val="1"/>
      </rPr>
      <t xml:space="preserve">
                      Project Complexity
</t>
    </r>
    <r>
      <rPr>
        <b/>
        <sz val="10"/>
        <rFont val="Courier New"/>
        <family val="1"/>
      </rPr>
      <t>Construction Cost     HIGH |  AVG  |  LOW</t>
    </r>
    <r>
      <rPr>
        <sz val="10"/>
        <rFont val="Courier New"/>
        <family val="1"/>
      </rPr>
      <t xml:space="preserve">
</t>
    </r>
    <r>
      <rPr>
        <b/>
        <sz val="10"/>
        <rFont val="Courier New"/>
        <family val="1"/>
      </rPr>
      <t>≦ $100K:</t>
    </r>
    <r>
      <rPr>
        <sz val="10"/>
        <rFont val="Courier New"/>
        <family val="1"/>
      </rPr>
      <t xml:space="preserve">            (14.2% | 13.6% | 12.8%)
</t>
    </r>
    <r>
      <rPr>
        <b/>
        <sz val="10"/>
        <rFont val="Courier New"/>
        <family val="1"/>
      </rPr>
      <t>$100K - $500K:</t>
    </r>
    <r>
      <rPr>
        <sz val="10"/>
        <rFont val="Courier New"/>
        <family val="1"/>
      </rPr>
      <t xml:space="preserve">       (14.1% | 13.3% | 12.3%)
</t>
    </r>
    <r>
      <rPr>
        <b/>
        <sz val="10"/>
        <rFont val="Courier New"/>
        <family val="1"/>
      </rPr>
      <t>$500K - $1M:</t>
    </r>
    <r>
      <rPr>
        <sz val="10"/>
        <rFont val="Courier New"/>
        <family val="1"/>
      </rPr>
      <t xml:space="preserve">         (11.6% | 10.9% |  9.9%)
</t>
    </r>
    <r>
      <rPr>
        <b/>
        <sz val="10"/>
        <rFont val="Courier New"/>
        <family val="1"/>
      </rPr>
      <t>$1M - $2.5M:</t>
    </r>
    <r>
      <rPr>
        <sz val="10"/>
        <rFont val="Courier New"/>
        <family val="1"/>
      </rPr>
      <t xml:space="preserve">         (10.6% |  9.8% |  8.8%)
</t>
    </r>
    <r>
      <rPr>
        <b/>
        <sz val="10"/>
        <rFont val="Courier New"/>
        <family val="1"/>
      </rPr>
      <t>$2.5M - $5M:</t>
    </r>
    <r>
      <rPr>
        <sz val="10"/>
        <rFont val="Courier New"/>
        <family val="1"/>
      </rPr>
      <t xml:space="preserve">         ( 9.2% |  8.3% |  7.3%)
</t>
    </r>
    <r>
      <rPr>
        <b/>
        <sz val="10"/>
        <rFont val="Courier New"/>
        <family val="1"/>
      </rPr>
      <t>$5M - $30M:</t>
    </r>
    <r>
      <rPr>
        <sz val="10"/>
        <rFont val="Courier New"/>
        <family val="1"/>
      </rPr>
      <t xml:space="preserve">          ( 8.3% |  7.4% |  6.3%)
</t>
    </r>
    <r>
      <rPr>
        <b/>
        <sz val="10"/>
        <rFont val="Courier New"/>
        <family val="1"/>
      </rPr>
      <t>$30M - $50M:</t>
    </r>
    <r>
      <rPr>
        <sz val="10"/>
        <rFont val="Courier New"/>
        <family val="1"/>
      </rPr>
      <t xml:space="preserve">         ( 7.0% |  6.2% |  5.3%)
</t>
    </r>
    <r>
      <rPr>
        <b/>
        <sz val="10"/>
        <rFont val="Courier New"/>
        <family val="1"/>
      </rPr>
      <t xml:space="preserve">$50M+: </t>
    </r>
    <r>
      <rPr>
        <sz val="10"/>
        <rFont val="Courier New"/>
        <family val="1"/>
      </rPr>
      <t xml:space="preserve">              ( 6.1% |  5.5% |  4.7%)</t>
    </r>
  </si>
  <si>
    <r>
      <rPr>
        <b/>
        <sz val="10"/>
        <rFont val="Arial Narrow"/>
        <family val="2"/>
      </rPr>
      <t>Renovation &amp; Remodeling Design Fee Guidance</t>
    </r>
    <r>
      <rPr>
        <sz val="10"/>
        <rFont val="Courier New"/>
        <family val="1"/>
      </rPr>
      <t xml:space="preserve">
                      Project Complexity
</t>
    </r>
    <r>
      <rPr>
        <b/>
        <sz val="10"/>
        <rFont val="Courier New"/>
        <family val="1"/>
      </rPr>
      <t>Construction Cost     HIGH |  AVG  |  LOW</t>
    </r>
    <r>
      <rPr>
        <sz val="10"/>
        <rFont val="Courier New"/>
        <family val="1"/>
      </rPr>
      <t xml:space="preserve">
</t>
    </r>
    <r>
      <rPr>
        <b/>
        <sz val="10"/>
        <rFont val="Courier New"/>
        <family val="1"/>
      </rPr>
      <t xml:space="preserve">≦ $100K: </t>
    </r>
    <r>
      <rPr>
        <sz val="10"/>
        <rFont val="Courier New"/>
        <family val="1"/>
      </rPr>
      <t xml:space="preserve">           (16.0% | 14.0% | 13.0%)
</t>
    </r>
    <r>
      <rPr>
        <b/>
        <sz val="10"/>
        <rFont val="Courier New"/>
        <family val="1"/>
      </rPr>
      <t>$100K - $500K:</t>
    </r>
    <r>
      <rPr>
        <sz val="10"/>
        <rFont val="Courier New"/>
        <family val="1"/>
      </rPr>
      <t xml:space="preserve">       (14.3% | 13.5% | 12.5%)
</t>
    </r>
    <r>
      <rPr>
        <b/>
        <sz val="10"/>
        <rFont val="Courier New"/>
        <family val="1"/>
      </rPr>
      <t>$500K - $1M:</t>
    </r>
    <r>
      <rPr>
        <sz val="10"/>
        <rFont val="Courier New"/>
        <family val="1"/>
      </rPr>
      <t xml:space="preserve">         (12.0% | 11.1% | 10.1%)
</t>
    </r>
    <r>
      <rPr>
        <b/>
        <sz val="10"/>
        <rFont val="Courier New"/>
        <family val="1"/>
      </rPr>
      <t>$1M - $2.5M:</t>
    </r>
    <r>
      <rPr>
        <sz val="10"/>
        <rFont val="Courier New"/>
        <family val="1"/>
      </rPr>
      <t xml:space="preserve">         (10.9% |  9.9% |  8.9%)
</t>
    </r>
    <r>
      <rPr>
        <b/>
        <sz val="10"/>
        <rFont val="Courier New"/>
        <family val="1"/>
      </rPr>
      <t>$2.5M - $5M:</t>
    </r>
    <r>
      <rPr>
        <sz val="10"/>
        <rFont val="Courier New"/>
        <family val="1"/>
      </rPr>
      <t xml:space="preserve">         ( 9.4% |  8.5% |  7.4%)
</t>
    </r>
    <r>
      <rPr>
        <b/>
        <sz val="10"/>
        <rFont val="Courier New"/>
        <family val="1"/>
      </rPr>
      <t>$5M - $30M:</t>
    </r>
    <r>
      <rPr>
        <sz val="10"/>
        <rFont val="Courier New"/>
        <family val="1"/>
      </rPr>
      <t xml:space="preserve">          ( 8.4% |  7.5% |  6.4%)
</t>
    </r>
    <r>
      <rPr>
        <b/>
        <sz val="10"/>
        <rFont val="Courier New"/>
        <family val="1"/>
      </rPr>
      <t>$30M - $50M:</t>
    </r>
    <r>
      <rPr>
        <sz val="10"/>
        <rFont val="Courier New"/>
        <family val="1"/>
      </rPr>
      <t xml:space="preserve">         ( 7.1% |  6.3% |  5.4%)
</t>
    </r>
    <r>
      <rPr>
        <b/>
        <sz val="10"/>
        <rFont val="Courier New"/>
        <family val="1"/>
      </rPr>
      <t xml:space="preserve">$50M+: </t>
    </r>
    <r>
      <rPr>
        <sz val="10"/>
        <rFont val="Courier New"/>
        <family val="1"/>
      </rPr>
      <t xml:space="preserve">              ( 6.2% |  5.6% |  4.8%)</t>
    </r>
  </si>
  <si>
    <r>
      <rPr>
        <b/>
        <sz val="10"/>
        <rFont val="Arial Narrow"/>
        <family val="2"/>
      </rPr>
      <t>Architectural/Engineering Basic Design Fees Guidance:</t>
    </r>
    <r>
      <rPr>
        <sz val="10"/>
        <rFont val="Arial Narrow"/>
        <family val="2"/>
      </rPr>
      <t xml:space="preserve"> Current as per DFD's biennial capital budget instructions (2023-25). Outlined below for ease of reading since new Excel in-cell Comments do not allow formatted text.</t>
    </r>
  </si>
  <si>
    <t>UNIVERSITIES of WISCONSIN</t>
  </si>
  <si>
    <t>UW-STEVENS POINT</t>
  </si>
  <si>
    <t>LOCATION</t>
  </si>
  <si>
    <t>UW-EAU CLAIRE</t>
  </si>
  <si>
    <t>UW-GREEN BAY</t>
  </si>
  <si>
    <t>UW-LA CROSSE</t>
  </si>
  <si>
    <t>UW-MADISON</t>
  </si>
  <si>
    <t>UW-MILWAUKEE</t>
  </si>
  <si>
    <t>UW-OSHKOSH</t>
  </si>
  <si>
    <t>UW-PARKSIDE</t>
  </si>
  <si>
    <t>UW-PLATTEVILLE</t>
  </si>
  <si>
    <t>UW-RIVER FALLS</t>
  </si>
  <si>
    <t>UW-STOUT</t>
  </si>
  <si>
    <t>UW-SUPERIOR</t>
  </si>
  <si>
    <t>UW-WHITEWATER</t>
  </si>
  <si>
    <t>UW SYSTEM</t>
  </si>
  <si>
    <t>SYSTEMWIDE</t>
  </si>
  <si>
    <t>MULTI-INSTITUTION</t>
  </si>
  <si>
    <t>PRE-DESIGN (04/2023)</t>
  </si>
  <si>
    <t>OLD MAIN MEMORIAL HALL ADDITION &amp; RENOVATION - PHASE VIII + ALTERNATE 8</t>
  </si>
  <si>
    <t>TODAY</t>
  </si>
  <si>
    <t>TODAY-730</t>
  </si>
  <si>
    <t>TODAY-1460</t>
  </si>
  <si>
    <t>Rev. 2024-03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</si>
</sst>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General_)"/>
    <numFmt numFmtId="165" formatCode="0.00_)"/>
    <numFmt numFmtId="166" formatCode="0.0%"/>
    <numFmt numFmtId="167" formatCode="0_)"/>
    <numFmt numFmtId="168" formatCode="[$-409]mmm\-yy;@"/>
    <numFmt numFmtId="169" formatCode="mm/dd/yy;@"/>
    <numFmt numFmtId="170" formatCode="&quot;$&quot;#,##0"/>
    <numFmt numFmtId="171" formatCode="mm/yyyy"/>
    <numFmt numFmtId="172" formatCode="_([$$-409]* #,##0_);_([$$-409]* \(#,##0\);_([$$-409]* &quot;-&quot;_);_(@_)"/>
    <numFmt numFmtId="173" formatCode="#,##0.00_ ;[Red]\-#,##0.00\ "/>
    <numFmt numFmtId="174" formatCode="0.000"/>
    <numFmt numFmtId="175" formatCode="_(&quot;$&quot;* #,##0_);_(&quot;$&quot;* \(#,##0\);_(&quot;$&quot;* &quot;-&quot;??_);_(@_)"/>
    <numFmt numFmtId="176" formatCode="_(&quot;$&quot;* #,##0.00_);_(&quot;$&quot;* \(#,##0.00\);_(&quot;$&quot;* &quot;-&quot;_);_(@_)"/>
    <numFmt numFmtId="177" formatCode="0.0000"/>
    <numFmt numFmtId="178" formatCode="0_);[Red]\(0\)"/>
    <numFmt numFmtId="179" formatCode="0.0000%"/>
    <numFmt numFmtId="180" formatCode="0.0000_);[Red]\(0.0000\)"/>
    <numFmt numFmtId="181" formatCode="0.0000_ ;[Red]\-0.0000\ "/>
    <numFmt numFmtId="182" formatCode="0.0000_)"/>
    <numFmt numFmtId="183" formatCode="#,##0.0000_);[Red]\(#,##0.0000\)"/>
    <numFmt numFmtId="184" formatCode="_(* #,##0_);_(* \(#,##0\);_(* &quot;-&quot;??_);_(@_)"/>
    <numFmt numFmtId="185" formatCode="0000"/>
    <numFmt numFmtId="186" formatCode="00"/>
    <numFmt numFmtId="187" formatCode="000000"/>
    <numFmt numFmtId="188" formatCode="0.0000000_);[Red]\(0.0000000\)"/>
    <numFmt numFmtId="189" formatCode="0.0000000"/>
  </numFmts>
  <fonts count="103">
    <font>
      <sz val="8.5"/>
      <name val="LinePrinter"/>
    </font>
    <font>
      <sz val="12"/>
      <color theme="1"/>
      <name val="Calibri"/>
      <family val="2"/>
      <scheme val="minor"/>
    </font>
    <font>
      <b/>
      <sz val="10"/>
      <name val="Arial Narrow"/>
      <family val="2"/>
    </font>
    <font>
      <i/>
      <sz val="10"/>
      <name val="Arial Narrow"/>
      <family val="2"/>
    </font>
    <font>
      <sz val="10"/>
      <name val="Arial Narrow"/>
      <family val="2"/>
    </font>
    <font>
      <sz val="8"/>
      <name val="LinePrinter"/>
    </font>
    <font>
      <sz val="8"/>
      <name val="Arial Narrow"/>
      <family val="2"/>
    </font>
    <font>
      <b/>
      <sz val="8"/>
      <name val="Arial Narrow"/>
      <family val="2"/>
    </font>
    <font>
      <sz val="8"/>
      <color indexed="12"/>
      <name val="Arial Narrow"/>
      <family val="2"/>
    </font>
    <font>
      <u/>
      <sz val="8"/>
      <name val="Arial Narrow"/>
      <family val="2"/>
    </font>
    <font>
      <b/>
      <sz val="12"/>
      <name val="Arial Narrow"/>
      <family val="2"/>
    </font>
    <font>
      <b/>
      <sz val="12"/>
      <color indexed="9"/>
      <name val="Arial Narrow"/>
      <family val="2"/>
    </font>
    <font>
      <sz val="10"/>
      <color indexed="10"/>
      <name val="Arial Narrow"/>
      <family val="2"/>
    </font>
    <font>
      <sz val="8.5"/>
      <name val="LinePrinter"/>
    </font>
    <font>
      <sz val="10"/>
      <color indexed="8"/>
      <name val="Arial"/>
      <family val="2"/>
    </font>
    <font>
      <sz val="10"/>
      <color indexed="9"/>
      <name val="Arial"/>
      <family val="2"/>
    </font>
    <font>
      <sz val="10"/>
      <color indexed="20"/>
      <name val="Arial"/>
      <family val="2"/>
    </font>
    <font>
      <b/>
      <sz val="10"/>
      <color indexed="5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50"/>
      <name val="Arial"/>
      <family val="2"/>
    </font>
    <font>
      <sz val="10"/>
      <color indexed="50"/>
      <name val="Arial"/>
      <family val="2"/>
    </font>
    <font>
      <b/>
      <sz val="10"/>
      <color indexed="63"/>
      <name val="Arial"/>
      <family val="2"/>
    </font>
    <font>
      <b/>
      <sz val="18"/>
      <color indexed="62"/>
      <name val="Cambria"/>
      <family val="2"/>
    </font>
    <font>
      <b/>
      <sz val="10"/>
      <color indexed="8"/>
      <name val="Arial"/>
      <family val="2"/>
    </font>
    <font>
      <sz val="10"/>
      <color indexed="10"/>
      <name val="Arial"/>
      <family val="2"/>
    </font>
    <font>
      <u/>
      <sz val="8.5"/>
      <color theme="10"/>
      <name val="LinePrinter"/>
    </font>
    <font>
      <u/>
      <sz val="8.5"/>
      <color theme="11"/>
      <name val="LinePrinter"/>
    </font>
    <font>
      <sz val="8"/>
      <color rgb="FF0000FF"/>
      <name val="Arial Narrow"/>
      <family val="2"/>
    </font>
    <font>
      <sz val="10"/>
      <color rgb="FF0000FF"/>
      <name val="Arial Narrow"/>
      <family val="2"/>
    </font>
    <font>
      <sz val="8"/>
      <color theme="1"/>
      <name val="Arial Narrow"/>
      <family val="2"/>
    </font>
    <font>
      <b/>
      <sz val="8"/>
      <color rgb="FFC00000"/>
      <name val="Arial Narrow"/>
      <family val="2"/>
    </font>
    <font>
      <sz val="8"/>
      <color rgb="FFC00000"/>
      <name val="Arial Narrow"/>
      <family val="2"/>
    </font>
    <font>
      <sz val="10"/>
      <color rgb="FFC00000"/>
      <name val="Arial Narrow"/>
      <family val="2"/>
    </font>
    <font>
      <b/>
      <sz val="10"/>
      <color rgb="FFAC1B5A"/>
      <name val="Arial Narrow"/>
      <family val="2"/>
    </font>
    <font>
      <sz val="10"/>
      <color rgb="FF0070C0"/>
      <name val="Arial Narrow"/>
      <family val="2"/>
    </font>
    <font>
      <u/>
      <sz val="10"/>
      <name val="Arial Narrow"/>
      <family val="2"/>
    </font>
    <font>
      <sz val="10"/>
      <color theme="0"/>
      <name val="Arial Narrow"/>
      <family val="2"/>
    </font>
    <font>
      <b/>
      <sz val="10"/>
      <color rgb="FFC00000"/>
      <name val="Arial Narrow"/>
      <family val="2"/>
    </font>
    <font>
      <b/>
      <sz val="10"/>
      <color theme="0"/>
      <name val="Times New Roman"/>
      <family val="1"/>
    </font>
    <font>
      <sz val="8.5"/>
      <color theme="0"/>
      <name val="LinePrinter"/>
    </font>
    <font>
      <sz val="10"/>
      <color theme="0"/>
      <name val="Times New Roman"/>
      <family val="1"/>
    </font>
    <font>
      <sz val="8"/>
      <color theme="0" tint="-0.34998626667073579"/>
      <name val="Arial Narrow"/>
      <family val="2"/>
    </font>
    <font>
      <b/>
      <u/>
      <sz val="10"/>
      <color rgb="FFC00000"/>
      <name val="Arial Narrow"/>
      <family val="2"/>
    </font>
    <font>
      <sz val="8.5"/>
      <name val="Arial Narrow"/>
      <family val="2"/>
    </font>
    <font>
      <b/>
      <u/>
      <sz val="10"/>
      <name val="Arial Narrow"/>
      <family val="2"/>
    </font>
    <font>
      <sz val="10"/>
      <color theme="0" tint="-0.34998626667073579"/>
      <name val="Arial Narrow"/>
      <family val="2"/>
    </font>
    <font>
      <b/>
      <sz val="10"/>
      <color theme="0" tint="-0.34998626667073579"/>
      <name val="Arial Narrow"/>
      <family val="2"/>
    </font>
    <font>
      <b/>
      <u/>
      <sz val="10"/>
      <color theme="0" tint="-0.34998626667073579"/>
      <name val="Arial Narrow"/>
      <family val="2"/>
    </font>
    <font>
      <u/>
      <sz val="8"/>
      <color theme="0" tint="-0.34998626667073579"/>
      <name val="Arial Narrow"/>
      <family val="2"/>
    </font>
    <font>
      <b/>
      <sz val="8"/>
      <color theme="0"/>
      <name val="Arial Narrow"/>
      <family val="2"/>
    </font>
    <font>
      <sz val="8"/>
      <color theme="0"/>
      <name val="Arial Narrow"/>
      <family val="2"/>
    </font>
    <font>
      <sz val="10"/>
      <color theme="0" tint="-0.499984740745262"/>
      <name val="Arial Narrow"/>
      <family val="2"/>
    </font>
    <font>
      <sz val="8"/>
      <color rgb="FF7030A0"/>
      <name val="Arial Narrow"/>
      <family val="2"/>
    </font>
    <font>
      <b/>
      <sz val="8"/>
      <color rgb="FF7030A0"/>
      <name val="Arial Narrow"/>
      <family val="2"/>
    </font>
    <font>
      <sz val="11"/>
      <color theme="1"/>
      <name val="Calibri"/>
      <family val="2"/>
      <scheme val="minor"/>
    </font>
    <font>
      <b/>
      <sz val="14"/>
      <color theme="1"/>
      <name val="Arial Narrow"/>
      <family val="2"/>
    </font>
    <font>
      <sz val="11"/>
      <color theme="1"/>
      <name val="Arial Narrow"/>
      <family val="2"/>
    </font>
    <font>
      <u/>
      <sz val="11"/>
      <color theme="1"/>
      <name val="Arial Narrow"/>
      <family val="2"/>
    </font>
    <font>
      <sz val="11"/>
      <color theme="0" tint="-0.499984740745262"/>
      <name val="Arial Narrow"/>
      <family val="2"/>
    </font>
    <font>
      <b/>
      <sz val="11"/>
      <color theme="1"/>
      <name val="Arial Narrow"/>
      <family val="2"/>
    </font>
    <font>
      <sz val="11"/>
      <name val="Arial Narrow"/>
      <family val="2"/>
    </font>
    <font>
      <sz val="11"/>
      <color rgb="FF7030A0"/>
      <name val="Arial Narrow"/>
      <family val="2"/>
    </font>
    <font>
      <sz val="11"/>
      <color theme="5"/>
      <name val="Arial Narrow"/>
      <family val="2"/>
    </font>
    <font>
      <sz val="14"/>
      <color theme="1"/>
      <name val="Cambria"/>
      <family val="2"/>
      <scheme val="major"/>
    </font>
    <font>
      <sz val="11"/>
      <name val="Calibri"/>
      <family val="2"/>
      <scheme val="minor"/>
    </font>
    <font>
      <i/>
      <sz val="11"/>
      <color theme="1"/>
      <name val="Calibri"/>
      <family val="2"/>
      <scheme val="minor"/>
    </font>
    <font>
      <b/>
      <sz val="11"/>
      <color theme="1"/>
      <name val="Calibri"/>
      <family val="2"/>
      <scheme val="minor"/>
    </font>
    <font>
      <sz val="14"/>
      <color theme="1"/>
      <name val="Calibri"/>
      <family val="2"/>
      <scheme val="minor"/>
    </font>
    <font>
      <b/>
      <sz val="8"/>
      <color theme="1"/>
      <name val="Arial Narrow"/>
      <family val="2"/>
    </font>
    <font>
      <b/>
      <sz val="10"/>
      <color theme="2" tint="-0.749992370372631"/>
      <name val="Arial Narrow"/>
      <family val="2"/>
    </font>
    <font>
      <sz val="10"/>
      <color theme="1"/>
      <name val="Arial Narrow"/>
      <family val="2"/>
    </font>
    <font>
      <b/>
      <sz val="10"/>
      <color theme="1"/>
      <name val="Arial Narrow"/>
      <family val="2"/>
    </font>
    <font>
      <sz val="8"/>
      <color theme="0" tint="-0.499984740745262"/>
      <name val="Arial Narrow"/>
      <family val="2"/>
    </font>
    <font>
      <sz val="8"/>
      <color theme="2" tint="-0.249977111117893"/>
      <name val="Arial Narrow"/>
      <family val="2"/>
    </font>
    <font>
      <sz val="10"/>
      <color theme="2" tint="-0.249977111117893"/>
      <name val="Arial Narrow"/>
      <family val="2"/>
    </font>
    <font>
      <b/>
      <sz val="8"/>
      <color theme="2" tint="-0.499984740745262"/>
      <name val="Arial Narrow"/>
      <family val="2"/>
    </font>
    <font>
      <b/>
      <sz val="10"/>
      <color theme="2" tint="-0.499984740745262"/>
      <name val="Arial Narrow"/>
      <family val="2"/>
    </font>
    <font>
      <sz val="8"/>
      <color theme="5" tint="0.59999389629810485"/>
      <name val="Arial Narrow"/>
      <family val="2"/>
    </font>
    <font>
      <sz val="10"/>
      <color theme="5" tint="0.59999389629810485"/>
      <name val="Arial Narrow"/>
      <family val="2"/>
    </font>
    <font>
      <b/>
      <sz val="8"/>
      <color theme="5" tint="0.39997558519241921"/>
      <name val="Arial Narrow"/>
      <family val="2"/>
    </font>
    <font>
      <b/>
      <sz val="10"/>
      <color theme="5" tint="0.39997558519241921"/>
      <name val="Arial Narrow"/>
      <family val="2"/>
    </font>
    <font>
      <b/>
      <sz val="8"/>
      <color rgb="FFBA8B00"/>
      <name val="Arial Narrow"/>
      <family val="2"/>
    </font>
    <font>
      <b/>
      <sz val="10"/>
      <color rgb="FFBA8B00"/>
      <name val="Arial Narrow"/>
      <family val="2"/>
    </font>
    <font>
      <sz val="8"/>
      <color rgb="FFF8BA00"/>
      <name val="Arial Narrow"/>
      <family val="2"/>
    </font>
    <font>
      <sz val="10"/>
      <color rgb="FFF8BA00"/>
      <name val="Arial Narrow"/>
      <family val="2"/>
    </font>
    <font>
      <b/>
      <sz val="10"/>
      <color theme="5"/>
      <name val="Arial Narrow"/>
      <family val="2"/>
    </font>
    <font>
      <sz val="8"/>
      <color theme="5" tint="0.39997558519241921"/>
      <name val="Arial Narrow"/>
      <family val="2"/>
    </font>
    <font>
      <sz val="10"/>
      <color theme="5" tint="0.39997558519241921"/>
      <name val="Arial Narrow"/>
      <family val="2"/>
    </font>
    <font>
      <b/>
      <u/>
      <sz val="10"/>
      <color theme="1"/>
      <name val="Arial Narrow"/>
      <family val="2"/>
    </font>
    <font>
      <sz val="10"/>
      <color theme="1" tint="0.499984740745262"/>
      <name val="Arial Narrow"/>
      <family val="2"/>
    </font>
    <font>
      <sz val="10"/>
      <name val="Courier New"/>
      <family val="1"/>
    </font>
    <font>
      <b/>
      <sz val="10"/>
      <name val="Courier New"/>
      <family val="1"/>
    </font>
    <font>
      <sz val="10"/>
      <name val="Courier New"/>
      <family val="2"/>
    </font>
    <font>
      <sz val="8"/>
      <color theme="8" tint="-0.249977111117893"/>
      <name val="Arial Narrow"/>
      <family val="2"/>
    </font>
    <font>
      <sz val="8"/>
      <color theme="8" tint="-0.499984740745262"/>
      <name val="Arial Narrow"/>
      <family val="2"/>
    </font>
    <font>
      <b/>
      <sz val="8"/>
      <color theme="8" tint="-0.499984740745262"/>
      <name val="Arial Narrow"/>
      <family val="2"/>
    </font>
    <font>
      <sz val="10"/>
      <color theme="8" tint="-0.499984740745262"/>
      <name val="Arial Narrow"/>
      <family val="2"/>
    </font>
  </fonts>
  <fills count="48">
    <fill>
      <patternFill patternType="none"/>
    </fill>
    <fill>
      <patternFill patternType="gray125"/>
    </fill>
    <fill>
      <patternFill patternType="solid">
        <fgColor indexed="44"/>
      </patternFill>
    </fill>
    <fill>
      <patternFill patternType="solid">
        <fgColor indexed="45"/>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22"/>
      </patternFill>
    </fill>
    <fill>
      <patternFill patternType="solid">
        <fgColor indexed="29"/>
      </patternFill>
    </fill>
    <fill>
      <patternFill patternType="solid">
        <fgColor indexed="53"/>
      </patternFill>
    </fill>
    <fill>
      <patternFill patternType="solid">
        <fgColor indexed="56"/>
      </patternFill>
    </fill>
    <fill>
      <patternFill patternType="solid">
        <fgColor indexed="19"/>
      </patternFill>
    </fill>
    <fill>
      <patternFill patternType="solid">
        <fgColor indexed="57"/>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8"/>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649664"/>
        <bgColor indexed="64"/>
      </patternFill>
    </fill>
    <fill>
      <patternFill patternType="solid">
        <fgColor rgb="FFFAFA64"/>
        <bgColor indexed="64"/>
      </patternFill>
    </fill>
    <fill>
      <patternFill patternType="solid">
        <fgColor rgb="FFFA9600"/>
        <bgColor indexed="64"/>
      </patternFill>
    </fill>
    <fill>
      <patternFill patternType="solid">
        <fgColor rgb="FF326496"/>
        <bgColor indexed="64"/>
      </patternFill>
    </fill>
    <fill>
      <patternFill patternType="solid">
        <fgColor rgb="FF9696C8"/>
        <bgColor indexed="64"/>
      </patternFill>
    </fill>
    <fill>
      <patternFill patternType="solid">
        <fgColor rgb="FFC8323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C6992"/>
        <bgColor indexed="64"/>
      </patternFill>
    </fill>
    <fill>
      <patternFill patternType="solid">
        <fgColor theme="1" tint="0.249977111117893"/>
        <bgColor indexed="64"/>
      </patternFill>
    </fill>
    <fill>
      <patternFill patternType="solid">
        <fgColor rgb="FFFFD761"/>
        <bgColor indexed="64"/>
      </patternFill>
    </fill>
    <fill>
      <patternFill patternType="solid">
        <fgColor theme="8" tint="-0.499984740745262"/>
        <bgColor indexed="64"/>
      </patternFill>
    </fill>
    <fill>
      <patternFill patternType="solid">
        <fgColor theme="8" tint="0.79998168889431442"/>
        <bgColor indexed="8"/>
      </patternFill>
    </fill>
    <fill>
      <patternFill patternType="solid">
        <fgColor theme="8" tint="0.79998168889431442"/>
        <bgColor indexed="64"/>
      </patternFill>
    </fill>
    <fill>
      <patternFill patternType="solid">
        <fgColor theme="8"/>
        <bgColor indexed="64"/>
      </patternFill>
    </fill>
    <fill>
      <patternFill patternType="solid">
        <fgColor theme="8" tint="-0.249977111117893"/>
        <bgColor indexed="64"/>
      </patternFill>
    </fill>
    <fill>
      <patternFill patternType="solid">
        <fgColor theme="8" tint="0.79998168889431442"/>
        <bgColor rgb="FF000000"/>
      </patternFill>
    </fill>
    <fill>
      <patternFill patternType="solid">
        <fgColor theme="2" tint="-9.9978637043366805E-2"/>
        <bgColor indexed="64"/>
      </patternFill>
    </fill>
  </fills>
  <borders count="7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top/>
      <bottom style="medium">
        <color auto="1"/>
      </bottom>
      <diagonal/>
    </border>
    <border>
      <left style="thin">
        <color indexed="8"/>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bottom style="thin">
        <color auto="1"/>
      </bottom>
      <diagonal/>
    </border>
    <border>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50"/>
      </bottom>
      <diagonal/>
    </border>
    <border>
      <left style="thin">
        <color indexed="53"/>
      </left>
      <right style="thin">
        <color indexed="53"/>
      </right>
      <top style="thin">
        <color indexed="53"/>
      </top>
      <bottom style="thin">
        <color indexed="53"/>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auto="1"/>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indexed="64"/>
      </top>
      <bottom/>
      <diagonal/>
    </border>
    <border>
      <left style="thin">
        <color indexed="64"/>
      </left>
      <right style="thin">
        <color indexed="64"/>
      </right>
      <top/>
      <bottom/>
      <diagonal/>
    </border>
    <border>
      <left style="thin">
        <color auto="1"/>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indexed="64"/>
      </top>
      <bottom/>
      <diagonal/>
    </border>
    <border>
      <left/>
      <right/>
      <top style="thin">
        <color indexed="64"/>
      </top>
      <bottom/>
      <diagonal/>
    </border>
    <border>
      <left style="thin">
        <color auto="1"/>
      </left>
      <right/>
      <top/>
      <bottom style="thin">
        <color indexed="64"/>
      </bottom>
      <diagonal/>
    </border>
    <border>
      <left/>
      <right style="thin">
        <color auto="1"/>
      </right>
      <top/>
      <bottom style="thin">
        <color indexed="64"/>
      </bottom>
      <diagonal/>
    </border>
    <border>
      <left/>
      <right style="thin">
        <color theme="0" tint="-0.24994659260841701"/>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8"/>
      </bottom>
      <diagonal/>
    </border>
    <border>
      <left/>
      <right/>
      <top/>
      <bottom style="thin">
        <color auto="1"/>
      </bottom>
      <diagonal/>
    </border>
    <border>
      <left/>
      <right style="thin">
        <color indexed="64"/>
      </right>
      <top style="thin">
        <color indexed="64"/>
      </top>
      <bottom/>
      <diagonal/>
    </border>
    <border>
      <left style="medium">
        <color theme="1"/>
      </left>
      <right style="medium">
        <color theme="1"/>
      </right>
      <top style="medium">
        <color theme="1"/>
      </top>
      <bottom style="medium">
        <color theme="1"/>
      </bottom>
      <diagonal/>
    </border>
    <border>
      <left style="thin">
        <color auto="1"/>
      </left>
      <right style="thin">
        <color auto="1"/>
      </right>
      <top style="thin">
        <color indexed="64"/>
      </top>
      <bottom style="hair">
        <color auto="1"/>
      </bottom>
      <diagonal/>
    </border>
    <border>
      <left/>
      <right/>
      <top style="thin">
        <color indexed="64"/>
      </top>
      <bottom style="thin">
        <color indexed="64"/>
      </bottom>
      <diagonal/>
    </border>
    <border>
      <left style="thin">
        <color auto="1"/>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diagonal/>
    </border>
    <border>
      <left style="thin">
        <color indexed="8"/>
      </left>
      <right style="thin">
        <color indexed="64"/>
      </right>
      <top style="thin">
        <color indexed="8"/>
      </top>
      <bottom style="thin">
        <color indexed="8"/>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348">
    <xf numFmtId="164"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7" fillId="5" borderId="18" applyNumberFormat="0" applyAlignment="0" applyProtection="0"/>
    <xf numFmtId="0" fontId="18" fillId="10" borderId="19" applyNumberFormat="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4" fillId="7" borderId="18" applyNumberFormat="0" applyAlignment="0" applyProtection="0"/>
    <xf numFmtId="0" fontId="25" fillId="0" borderId="23" applyNumberFormat="0" applyFill="0" applyAlignment="0" applyProtection="0"/>
    <xf numFmtId="0" fontId="26" fillId="7" borderId="0" applyNumberFormat="0" applyBorder="0" applyAlignment="0" applyProtection="0"/>
    <xf numFmtId="0" fontId="13" fillId="4" borderId="24" applyNumberFormat="0" applyFont="0" applyAlignment="0" applyProtection="0"/>
    <xf numFmtId="0" fontId="27" fillId="5" borderId="25" applyNumberFormat="0" applyAlignment="0" applyProtection="0"/>
    <xf numFmtId="0" fontId="28" fillId="0" borderId="0" applyNumberFormat="0" applyFill="0" applyBorder="0" applyAlignment="0" applyProtection="0"/>
    <xf numFmtId="0" fontId="29" fillId="0" borderId="26" applyNumberFormat="0" applyFill="0" applyAlignment="0" applyProtection="0"/>
    <xf numFmtId="0" fontId="30"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9" fontId="13" fillId="0" borderId="0" applyFon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164" fontId="31" fillId="0" borderId="0" applyNumberFormat="0" applyFill="0" applyBorder="0" applyAlignment="0" applyProtection="0"/>
    <xf numFmtId="164" fontId="32" fillId="0" borderId="0" applyNumberFormat="0" applyFill="0" applyBorder="0" applyAlignment="0" applyProtection="0"/>
    <xf numFmtId="0" fontId="60" fillId="0" borderId="0"/>
    <xf numFmtId="43" fontId="60" fillId="0" borderId="0" applyFont="0" applyFill="0" applyBorder="0" applyAlignment="0" applyProtection="0"/>
    <xf numFmtId="9" fontId="60" fillId="0" borderId="0" applyFont="0" applyFill="0" applyBorder="0" applyAlignment="0" applyProtection="0"/>
    <xf numFmtId="0" fontId="1" fillId="0" borderId="0"/>
    <xf numFmtId="9" fontId="1" fillId="0" borderId="0" applyFont="0" applyFill="0" applyBorder="0" applyAlignment="0" applyProtection="0"/>
  </cellStyleXfs>
  <cellXfs count="636">
    <xf numFmtId="164" fontId="0" fillId="0" borderId="0" xfId="0"/>
    <xf numFmtId="164" fontId="6" fillId="0" borderId="0" xfId="0" applyFont="1" applyAlignment="1">
      <alignment horizontal="left"/>
    </xf>
    <xf numFmtId="164" fontId="7" fillId="0" borderId="0" xfId="0" applyFont="1" applyAlignment="1">
      <alignment horizontal="left"/>
    </xf>
    <xf numFmtId="37" fontId="6" fillId="0" borderId="0" xfId="0" applyNumberFormat="1" applyFont="1"/>
    <xf numFmtId="10" fontId="6" fillId="0" borderId="0" xfId="0" applyNumberFormat="1" applyFont="1"/>
    <xf numFmtId="164" fontId="6" fillId="0" borderId="0" xfId="0" applyFont="1"/>
    <xf numFmtId="6" fontId="6" fillId="0" borderId="0" xfId="0" applyNumberFormat="1" applyFont="1"/>
    <xf numFmtId="164" fontId="7" fillId="0" borderId="0" xfId="0" applyFont="1" applyAlignment="1">
      <alignment horizontal="right"/>
    </xf>
    <xf numFmtId="164" fontId="8" fillId="0" borderId="0" xfId="0" applyFont="1"/>
    <xf numFmtId="37" fontId="8" fillId="0" borderId="0" xfId="0" applyNumberFormat="1" applyFont="1"/>
    <xf numFmtId="164" fontId="6" fillId="0" borderId="9" xfId="0" applyFont="1" applyBorder="1"/>
    <xf numFmtId="164" fontId="7" fillId="0" borderId="0" xfId="0" applyFont="1"/>
    <xf numFmtId="164" fontId="6" fillId="0" borderId="0" xfId="0" applyFont="1" applyAlignment="1">
      <alignment horizontal="right"/>
    </xf>
    <xf numFmtId="164" fontId="9" fillId="0" borderId="0" xfId="0" applyFont="1" applyAlignment="1">
      <alignment horizontal="left"/>
    </xf>
    <xf numFmtId="164" fontId="9" fillId="0" borderId="0" xfId="0" applyFont="1" applyAlignment="1">
      <alignment horizontal="right"/>
    </xf>
    <xf numFmtId="165" fontId="6" fillId="0" borderId="0" xfId="0" applyNumberFormat="1" applyFont="1"/>
    <xf numFmtId="3" fontId="6" fillId="0" borderId="0" xfId="0" applyNumberFormat="1" applyFont="1"/>
    <xf numFmtId="37" fontId="7" fillId="0" borderId="0" xfId="0" applyNumberFormat="1" applyFont="1"/>
    <xf numFmtId="164" fontId="8" fillId="0" borderId="0" xfId="0" applyFont="1" applyAlignment="1">
      <alignment horizontal="left"/>
    </xf>
    <xf numFmtId="166" fontId="8" fillId="0" borderId="0" xfId="0" applyNumberFormat="1" applyFont="1"/>
    <xf numFmtId="164" fontId="6" fillId="0" borderId="0" xfId="0" quotePrefix="1" applyFont="1" applyAlignment="1">
      <alignment horizontal="left" indent="2"/>
    </xf>
    <xf numFmtId="9" fontId="6" fillId="0" borderId="0" xfId="0" applyNumberFormat="1" applyFont="1"/>
    <xf numFmtId="167" fontId="8" fillId="0" borderId="0" xfId="0" applyNumberFormat="1" applyFont="1"/>
    <xf numFmtId="49" fontId="6" fillId="0" borderId="0" xfId="0" applyNumberFormat="1" applyFont="1"/>
    <xf numFmtId="164" fontId="6" fillId="0" borderId="5" xfId="0" applyFont="1" applyBorder="1" applyAlignment="1">
      <alignment horizontal="right"/>
    </xf>
    <xf numFmtId="169" fontId="6" fillId="0" borderId="4" xfId="0" applyNumberFormat="1" applyFont="1" applyBorder="1" applyAlignment="1">
      <alignment horizontal="right"/>
    </xf>
    <xf numFmtId="164" fontId="6" fillId="0" borderId="4" xfId="0" applyFont="1" applyBorder="1" applyAlignment="1">
      <alignment horizontal="right"/>
    </xf>
    <xf numFmtId="170" fontId="6" fillId="0" borderId="0" xfId="0" applyNumberFormat="1" applyFont="1"/>
    <xf numFmtId="38" fontId="6" fillId="0" borderId="0" xfId="0" applyNumberFormat="1" applyFont="1"/>
    <xf numFmtId="170" fontId="7" fillId="0" borderId="0" xfId="0" applyNumberFormat="1" applyFont="1"/>
    <xf numFmtId="166" fontId="6" fillId="0" borderId="0" xfId="0" applyNumberFormat="1" applyFont="1"/>
    <xf numFmtId="38" fontId="7" fillId="0" borderId="0" xfId="0" applyNumberFormat="1" applyFont="1"/>
    <xf numFmtId="42" fontId="6" fillId="0" borderId="0" xfId="0" applyNumberFormat="1" applyFont="1"/>
    <xf numFmtId="164" fontId="4" fillId="0" borderId="0" xfId="0" applyFont="1"/>
    <xf numFmtId="164" fontId="7" fillId="0" borderId="0" xfId="0" applyFont="1" applyAlignment="1">
      <alignment horizontal="center"/>
    </xf>
    <xf numFmtId="38" fontId="8" fillId="0" borderId="0" xfId="0" applyNumberFormat="1" applyFont="1"/>
    <xf numFmtId="171" fontId="6" fillId="0" borderId="0" xfId="0" applyNumberFormat="1" applyFont="1" applyAlignment="1">
      <alignment horizontal="right"/>
    </xf>
    <xf numFmtId="38" fontId="6" fillId="0" borderId="5" xfId="0" applyNumberFormat="1" applyFont="1" applyBorder="1"/>
    <xf numFmtId="164" fontId="6" fillId="0" borderId="0" xfId="0" applyFont="1" applyAlignment="1">
      <alignment horizontal="center"/>
    </xf>
    <xf numFmtId="164" fontId="33" fillId="0" borderId="0" xfId="0" applyFont="1" applyAlignment="1">
      <alignment horizontal="left" indent="1" shrinkToFit="1"/>
    </xf>
    <xf numFmtId="164" fontId="33" fillId="0" borderId="0" xfId="0" applyFont="1" applyAlignment="1">
      <alignment horizontal="left" shrinkToFit="1"/>
    </xf>
    <xf numFmtId="40" fontId="33" fillId="0" borderId="0" xfId="0" applyNumberFormat="1" applyFont="1"/>
    <xf numFmtId="164" fontId="33" fillId="0" borderId="0" xfId="0" applyFont="1" applyAlignment="1">
      <alignment horizontal="left"/>
    </xf>
    <xf numFmtId="42" fontId="33" fillId="0" borderId="0" xfId="0" applyNumberFormat="1" applyFont="1"/>
    <xf numFmtId="164" fontId="35" fillId="0" borderId="0" xfId="0" applyFont="1" applyAlignment="1">
      <alignment horizontal="left" indent="1" shrinkToFit="1"/>
    </xf>
    <xf numFmtId="174" fontId="6" fillId="0" borderId="0" xfId="0" applyNumberFormat="1" applyFont="1"/>
    <xf numFmtId="42" fontId="7" fillId="0" borderId="0" xfId="0" applyNumberFormat="1" applyFont="1"/>
    <xf numFmtId="164" fontId="6" fillId="0" borderId="4" xfId="0" applyFont="1" applyBorder="1" applyAlignment="1">
      <alignment horizontal="center"/>
    </xf>
    <xf numFmtId="175" fontId="6" fillId="0" borderId="0" xfId="0" applyNumberFormat="1" applyFont="1"/>
    <xf numFmtId="176" fontId="6" fillId="0" borderId="0" xfId="0" applyNumberFormat="1" applyFont="1"/>
    <xf numFmtId="166" fontId="6" fillId="0" borderId="13" xfId="0" applyNumberFormat="1" applyFont="1" applyBorder="1"/>
    <xf numFmtId="42" fontId="4" fillId="0" borderId="0" xfId="0" applyNumberFormat="1" applyFont="1"/>
    <xf numFmtId="164" fontId="2" fillId="0" borderId="0" xfId="0" applyFont="1"/>
    <xf numFmtId="42" fontId="4" fillId="0" borderId="36" xfId="0" applyNumberFormat="1" applyFont="1" applyBorder="1"/>
    <xf numFmtId="40" fontId="4" fillId="0" borderId="0" xfId="0" applyNumberFormat="1" applyFont="1"/>
    <xf numFmtId="42" fontId="2" fillId="0" borderId="37" xfId="0" applyNumberFormat="1" applyFont="1" applyBorder="1"/>
    <xf numFmtId="177" fontId="6" fillId="0" borderId="0" xfId="0" applyNumberFormat="1" applyFont="1"/>
    <xf numFmtId="179" fontId="6" fillId="0" borderId="0" xfId="274" applyNumberFormat="1" applyFont="1" applyProtection="1"/>
    <xf numFmtId="179" fontId="6" fillId="0" borderId="0" xfId="0" applyNumberFormat="1" applyFont="1"/>
    <xf numFmtId="180" fontId="4" fillId="0" borderId="0" xfId="0" applyNumberFormat="1" applyFont="1"/>
    <xf numFmtId="171" fontId="4" fillId="0" borderId="0" xfId="0" applyNumberFormat="1" applyFont="1"/>
    <xf numFmtId="179" fontId="4" fillId="0" borderId="0" xfId="0" applyNumberFormat="1" applyFont="1"/>
    <xf numFmtId="164" fontId="41" fillId="0" borderId="0" xfId="0" applyFont="1"/>
    <xf numFmtId="164" fontId="2" fillId="0" borderId="0" xfId="0" applyFont="1" applyAlignment="1">
      <alignment horizontal="right"/>
    </xf>
    <xf numFmtId="0" fontId="4" fillId="0" borderId="0" xfId="0" applyNumberFormat="1" applyFont="1" applyAlignment="1">
      <alignment horizontal="right"/>
    </xf>
    <xf numFmtId="171" fontId="38" fillId="19" borderId="35" xfId="0" applyNumberFormat="1" applyFont="1" applyFill="1" applyBorder="1" applyProtection="1">
      <protection locked="0"/>
    </xf>
    <xf numFmtId="181" fontId="6" fillId="0" borderId="0" xfId="0" applyNumberFormat="1" applyFont="1"/>
    <xf numFmtId="172" fontId="7" fillId="0" borderId="0" xfId="0" applyNumberFormat="1" applyFont="1"/>
    <xf numFmtId="168" fontId="6" fillId="0" borderId="0" xfId="0" applyNumberFormat="1" applyFont="1" applyAlignment="1">
      <alignment horizontal="right"/>
    </xf>
    <xf numFmtId="179" fontId="37" fillId="0" borderId="0" xfId="0" applyNumberFormat="1" applyFont="1"/>
    <xf numFmtId="164" fontId="6" fillId="0" borderId="0" xfId="0" quotePrefix="1" applyFont="1" applyAlignment="1">
      <alignment horizontal="left" indent="3"/>
    </xf>
    <xf numFmtId="42" fontId="6" fillId="21" borderId="0" xfId="0" applyNumberFormat="1" applyFont="1" applyFill="1"/>
    <xf numFmtId="164" fontId="6" fillId="21" borderId="0" xfId="0" applyFont="1" applyFill="1"/>
    <xf numFmtId="42" fontId="6" fillId="0" borderId="42" xfId="0" applyNumberFormat="1" applyFont="1" applyBorder="1"/>
    <xf numFmtId="175" fontId="6" fillId="0" borderId="42" xfId="0" applyNumberFormat="1" applyFont="1" applyBorder="1"/>
    <xf numFmtId="164" fontId="47" fillId="0" borderId="0" xfId="0" applyFont="1" applyAlignment="1">
      <alignment horizontal="right"/>
    </xf>
    <xf numFmtId="42" fontId="47" fillId="0" borderId="42" xfId="0" applyNumberFormat="1" applyFont="1" applyBorder="1"/>
    <xf numFmtId="42" fontId="6" fillId="0" borderId="36" xfId="0" applyNumberFormat="1" applyFont="1" applyBorder="1"/>
    <xf numFmtId="179" fontId="6" fillId="0" borderId="0" xfId="274" applyNumberFormat="1" applyFont="1" applyAlignment="1" applyProtection="1">
      <alignment horizontal="center" vertical="center"/>
    </xf>
    <xf numFmtId="164" fontId="36" fillId="0" borderId="0" xfId="0" applyFont="1" applyAlignment="1">
      <alignment horizontal="left"/>
    </xf>
    <xf numFmtId="179" fontId="6" fillId="0" borderId="0" xfId="274" applyNumberFormat="1" applyFont="1" applyFill="1" applyProtection="1"/>
    <xf numFmtId="44" fontId="6" fillId="0" borderId="41" xfId="0" applyNumberFormat="1" applyFont="1" applyBorder="1"/>
    <xf numFmtId="164" fontId="37" fillId="0" borderId="36" xfId="0" applyFont="1" applyBorder="1" applyAlignment="1">
      <alignment horizontal="left" indent="1" shrinkToFit="1"/>
    </xf>
    <xf numFmtId="40" fontId="37" fillId="0" borderId="36" xfId="0" applyNumberFormat="1" applyFont="1" applyBorder="1"/>
    <xf numFmtId="164" fontId="37" fillId="0" borderId="36" xfId="0" applyFont="1" applyBorder="1" applyAlignment="1">
      <alignment horizontal="center"/>
    </xf>
    <xf numFmtId="44" fontId="37" fillId="0" borderId="36" xfId="0" applyNumberFormat="1" applyFont="1" applyBorder="1"/>
    <xf numFmtId="179" fontId="6" fillId="0" borderId="0" xfId="274" applyNumberFormat="1" applyFont="1" applyAlignment="1" applyProtection="1">
      <alignment horizontal="right"/>
    </xf>
    <xf numFmtId="179" fontId="6" fillId="0" borderId="0" xfId="0" applyNumberFormat="1" applyFont="1" applyAlignment="1">
      <alignment horizontal="right"/>
    </xf>
    <xf numFmtId="164" fontId="49" fillId="0" borderId="0" xfId="0" applyFont="1"/>
    <xf numFmtId="0" fontId="50" fillId="0" borderId="0" xfId="0" applyNumberFormat="1" applyFont="1" applyAlignment="1">
      <alignment horizontal="center"/>
    </xf>
    <xf numFmtId="49" fontId="0" fillId="0" borderId="0" xfId="0" applyNumberFormat="1"/>
    <xf numFmtId="49" fontId="4" fillId="0" borderId="50" xfId="0" applyNumberFormat="1" applyFont="1" applyBorder="1" applyAlignment="1">
      <alignment vertical="top"/>
    </xf>
    <xf numFmtId="3" fontId="4" fillId="0" borderId="50" xfId="0" applyNumberFormat="1" applyFont="1" applyBorder="1" applyAlignment="1">
      <alignment vertical="top"/>
    </xf>
    <xf numFmtId="1" fontId="4" fillId="0" borderId="50" xfId="0" applyNumberFormat="1" applyFont="1" applyBorder="1" applyAlignment="1">
      <alignment vertical="top"/>
    </xf>
    <xf numFmtId="49" fontId="4" fillId="0" borderId="14" xfId="0" applyNumberFormat="1" applyFont="1" applyBorder="1" applyAlignment="1">
      <alignment vertical="top"/>
    </xf>
    <xf numFmtId="3" fontId="4" fillId="0" borderId="14" xfId="0" applyNumberFormat="1" applyFont="1" applyBorder="1" applyAlignment="1">
      <alignment vertical="top"/>
    </xf>
    <xf numFmtId="1" fontId="4" fillId="0" borderId="14" xfId="0" applyNumberFormat="1" applyFont="1" applyBorder="1" applyAlignment="1">
      <alignment vertical="top"/>
    </xf>
    <xf numFmtId="49" fontId="4" fillId="0" borderId="14" xfId="0" applyNumberFormat="1" applyFont="1" applyBorder="1" applyAlignment="1">
      <alignment vertical="top" wrapText="1"/>
    </xf>
    <xf numFmtId="49" fontId="4" fillId="0" borderId="14" xfId="0" quotePrefix="1" applyNumberFormat="1" applyFont="1" applyBorder="1" applyAlignment="1">
      <alignment horizontal="left" vertical="top" wrapText="1" indent="2"/>
    </xf>
    <xf numFmtId="49" fontId="4" fillId="0" borderId="14" xfId="0" applyNumberFormat="1" applyFont="1" applyBorder="1" applyAlignment="1">
      <alignment horizontal="left" vertical="top" wrapText="1" indent="2"/>
    </xf>
    <xf numFmtId="164" fontId="4" fillId="0" borderId="14" xfId="0" quotePrefix="1" applyFont="1" applyBorder="1" applyAlignment="1">
      <alignment horizontal="left" vertical="top" wrapText="1" indent="2"/>
    </xf>
    <xf numFmtId="164" fontId="4" fillId="0" borderId="15" xfId="0" applyFont="1" applyBorder="1"/>
    <xf numFmtId="164" fontId="4" fillId="0" borderId="38" xfId="0" applyFont="1" applyBorder="1"/>
    <xf numFmtId="42" fontId="51" fillId="0" borderId="0" xfId="0" applyNumberFormat="1" applyFont="1"/>
    <xf numFmtId="42" fontId="51" fillId="0" borderId="36" xfId="0" applyNumberFormat="1" applyFont="1" applyBorder="1"/>
    <xf numFmtId="42" fontId="52" fillId="0" borderId="37" xfId="0" applyNumberFormat="1" applyFont="1" applyBorder="1"/>
    <xf numFmtId="171" fontId="51" fillId="0" borderId="0" xfId="0" applyNumberFormat="1" applyFont="1"/>
    <xf numFmtId="42" fontId="2" fillId="0" borderId="0" xfId="0" applyNumberFormat="1" applyFont="1"/>
    <xf numFmtId="42" fontId="52" fillId="0" borderId="0" xfId="0" applyNumberFormat="1" applyFont="1"/>
    <xf numFmtId="42" fontId="2" fillId="0" borderId="35" xfId="0" applyNumberFormat="1" applyFont="1" applyBorder="1"/>
    <xf numFmtId="42" fontId="52" fillId="0" borderId="35" xfId="0" applyNumberFormat="1" applyFont="1" applyBorder="1"/>
    <xf numFmtId="164" fontId="51" fillId="0" borderId="0" xfId="0" applyFont="1"/>
    <xf numFmtId="164" fontId="53" fillId="0" borderId="0" xfId="0" applyFont="1" applyAlignment="1">
      <alignment horizontal="center"/>
    </xf>
    <xf numFmtId="180" fontId="38" fillId="19" borderId="35" xfId="0" applyNumberFormat="1" applyFont="1" applyFill="1" applyBorder="1" applyProtection="1">
      <protection locked="0"/>
    </xf>
    <xf numFmtId="183" fontId="6" fillId="0" borderId="0" xfId="0" applyNumberFormat="1" applyFont="1" applyAlignment="1">
      <alignment horizontal="center"/>
    </xf>
    <xf numFmtId="164" fontId="47" fillId="0" borderId="0" xfId="0" applyFont="1" applyAlignment="1">
      <alignment horizontal="center"/>
    </xf>
    <xf numFmtId="164" fontId="54" fillId="0" borderId="0" xfId="0" applyFont="1" applyAlignment="1">
      <alignment horizontal="center"/>
    </xf>
    <xf numFmtId="164" fontId="36" fillId="0" borderId="0" xfId="0" applyFont="1" applyAlignment="1">
      <alignment horizontal="right"/>
    </xf>
    <xf numFmtId="180" fontId="6" fillId="0" borderId="0" xfId="0" applyNumberFormat="1" applyFont="1"/>
    <xf numFmtId="179" fontId="51" fillId="0" borderId="0" xfId="0" applyNumberFormat="1" applyFont="1"/>
    <xf numFmtId="10" fontId="51" fillId="0" borderId="0" xfId="0" applyNumberFormat="1" applyFont="1"/>
    <xf numFmtId="179" fontId="51" fillId="0" borderId="0" xfId="274" applyNumberFormat="1" applyFont="1"/>
    <xf numFmtId="180" fontId="51" fillId="0" borderId="0" xfId="0" applyNumberFormat="1" applyFont="1"/>
    <xf numFmtId="40" fontId="51" fillId="0" borderId="0" xfId="0" applyNumberFormat="1" applyFont="1"/>
    <xf numFmtId="164" fontId="52" fillId="0" borderId="0" xfId="0" applyFont="1"/>
    <xf numFmtId="164" fontId="36" fillId="0" borderId="0" xfId="0" applyFont="1" applyAlignment="1">
      <alignment horizontal="center"/>
    </xf>
    <xf numFmtId="37" fontId="55" fillId="0" borderId="0" xfId="0" applyNumberFormat="1" applyFont="1" applyAlignment="1">
      <alignment horizontal="center"/>
    </xf>
    <xf numFmtId="164" fontId="4" fillId="0" borderId="0" xfId="0" applyFont="1" applyAlignment="1">
      <alignment horizontal="right"/>
    </xf>
    <xf numFmtId="164" fontId="7" fillId="18" borderId="0" xfId="0" quotePrefix="1" applyFont="1" applyFill="1" applyAlignment="1">
      <alignment horizontal="left" indent="2"/>
    </xf>
    <xf numFmtId="164" fontId="6" fillId="18" borderId="0" xfId="0" applyFont="1" applyFill="1"/>
    <xf numFmtId="42" fontId="6" fillId="18" borderId="0" xfId="0" applyNumberFormat="1" applyFont="1" applyFill="1"/>
    <xf numFmtId="9" fontId="6" fillId="18" borderId="0" xfId="0" applyNumberFormat="1" applyFont="1" applyFill="1"/>
    <xf numFmtId="37" fontId="6" fillId="18" borderId="0" xfId="0" applyNumberFormat="1" applyFont="1" applyFill="1"/>
    <xf numFmtId="164" fontId="44" fillId="23" borderId="1" xfId="0" applyFont="1" applyFill="1" applyBorder="1" applyAlignment="1">
      <alignment horizontal="left"/>
    </xf>
    <xf numFmtId="164" fontId="45" fillId="23" borderId="2" xfId="0" applyFont="1" applyFill="1" applyBorder="1"/>
    <xf numFmtId="164" fontId="46" fillId="23" borderId="3" xfId="0" applyFont="1" applyFill="1" applyBorder="1" applyAlignment="1">
      <alignment horizontal="right"/>
    </xf>
    <xf numFmtId="169" fontId="6" fillId="0" borderId="4" xfId="0" applyNumberFormat="1" applyFont="1" applyBorder="1"/>
    <xf numFmtId="164" fontId="9" fillId="0" borderId="0" xfId="0" applyFont="1" applyAlignment="1">
      <alignment horizontal="center"/>
    </xf>
    <xf numFmtId="38" fontId="6" fillId="0" borderId="6" xfId="0" applyNumberFormat="1" applyFont="1" applyBorder="1"/>
    <xf numFmtId="171" fontId="6" fillId="0" borderId="51" xfId="0" applyNumberFormat="1" applyFont="1" applyBorder="1" applyAlignment="1">
      <alignment horizontal="right"/>
    </xf>
    <xf numFmtId="38" fontId="6" fillId="0" borderId="8" xfId="0" applyNumberFormat="1" applyFont="1" applyBorder="1"/>
    <xf numFmtId="171" fontId="6" fillId="0" borderId="35" xfId="0" applyNumberFormat="1" applyFont="1" applyBorder="1"/>
    <xf numFmtId="164" fontId="6" fillId="0" borderId="11" xfId="0" applyFont="1" applyBorder="1" applyAlignment="1">
      <alignment horizontal="left"/>
    </xf>
    <xf numFmtId="38" fontId="6" fillId="0" borderId="30" xfId="0" applyNumberFormat="1" applyFont="1" applyBorder="1"/>
    <xf numFmtId="182" fontId="6" fillId="0" borderId="5" xfId="0" applyNumberFormat="1" applyFont="1" applyBorder="1"/>
    <xf numFmtId="176" fontId="6" fillId="0" borderId="5" xfId="0" applyNumberFormat="1" applyFont="1" applyBorder="1"/>
    <xf numFmtId="38" fontId="6" fillId="0" borderId="32" xfId="0" applyNumberFormat="1" applyFont="1" applyBorder="1"/>
    <xf numFmtId="176" fontId="6" fillId="0" borderId="6" xfId="0" applyNumberFormat="1" applyFont="1" applyBorder="1"/>
    <xf numFmtId="38" fontId="6" fillId="0" borderId="33" xfId="0" applyNumberFormat="1" applyFont="1" applyBorder="1"/>
    <xf numFmtId="176" fontId="6" fillId="0" borderId="11" xfId="0" applyNumberFormat="1" applyFont="1" applyBorder="1"/>
    <xf numFmtId="38" fontId="6" fillId="0" borderId="34" xfId="0" applyNumberFormat="1" applyFont="1" applyBorder="1"/>
    <xf numFmtId="176" fontId="6" fillId="0" borderId="8" xfId="0" applyNumberFormat="1" applyFont="1" applyBorder="1"/>
    <xf numFmtId="37" fontId="7" fillId="0" borderId="0" xfId="0" applyNumberFormat="1" applyFont="1" applyAlignment="1">
      <alignment horizontal="center"/>
    </xf>
    <xf numFmtId="164" fontId="6" fillId="0" borderId="0" xfId="0" applyFont="1" applyAlignment="1">
      <alignment horizontal="left" indent="1" shrinkToFit="1"/>
    </xf>
    <xf numFmtId="40" fontId="6" fillId="0" borderId="4" xfId="0" applyNumberFormat="1" applyFont="1" applyBorder="1"/>
    <xf numFmtId="164" fontId="6" fillId="0" borderId="0" xfId="0" applyFont="1" applyAlignment="1">
      <alignment horizontal="left" shrinkToFit="1"/>
    </xf>
    <xf numFmtId="40" fontId="6" fillId="0" borderId="0" xfId="0" applyNumberFormat="1" applyFont="1"/>
    <xf numFmtId="164" fontId="6" fillId="0" borderId="40" xfId="0" applyFont="1" applyBorder="1" applyAlignment="1">
      <alignment horizontal="left" shrinkToFit="1"/>
    </xf>
    <xf numFmtId="40" fontId="6" fillId="0" borderId="11" xfId="0" applyNumberFormat="1" applyFont="1" applyBorder="1" applyAlignment="1">
      <alignment horizontal="right"/>
    </xf>
    <xf numFmtId="164" fontId="6" fillId="0" borderId="11" xfId="0" applyFont="1" applyBorder="1" applyAlignment="1">
      <alignment horizontal="center"/>
    </xf>
    <xf numFmtId="44" fontId="6" fillId="0" borderId="11" xfId="0" applyNumberFormat="1" applyFont="1" applyBorder="1" applyAlignment="1">
      <alignment horizontal="right"/>
    </xf>
    <xf numFmtId="164" fontId="6" fillId="0" borderId="11" xfId="0" applyFont="1" applyBorder="1" applyAlignment="1">
      <alignment horizontal="left" shrinkToFit="1"/>
    </xf>
    <xf numFmtId="164" fontId="6" fillId="0" borderId="11" xfId="0" quotePrefix="1" applyFont="1" applyBorder="1" applyAlignment="1">
      <alignment horizontal="left" shrinkToFit="1"/>
    </xf>
    <xf numFmtId="164" fontId="6" fillId="0" borderId="38" xfId="0" quotePrefix="1" applyFont="1" applyBorder="1" applyAlignment="1">
      <alignment horizontal="left" shrinkToFit="1"/>
    </xf>
    <xf numFmtId="40" fontId="6" fillId="0" borderId="38" xfId="0" applyNumberFormat="1" applyFont="1" applyBorder="1" applyAlignment="1">
      <alignment horizontal="right"/>
    </xf>
    <xf numFmtId="164" fontId="6" fillId="0" borderId="38" xfId="0" applyFont="1" applyBorder="1" applyAlignment="1">
      <alignment horizontal="center"/>
    </xf>
    <xf numFmtId="44" fontId="6" fillId="0" borderId="38" xfId="0" applyNumberFormat="1" applyFont="1" applyBorder="1" applyAlignment="1">
      <alignment horizontal="right"/>
    </xf>
    <xf numFmtId="164" fontId="6" fillId="0" borderId="36" xfId="0" applyFont="1" applyBorder="1" applyAlignment="1">
      <alignment horizontal="left" indent="1" shrinkToFit="1"/>
    </xf>
    <xf numFmtId="40" fontId="6" fillId="0" borderId="36" xfId="0" applyNumberFormat="1" applyFont="1" applyBorder="1"/>
    <xf numFmtId="164" fontId="6" fillId="0" borderId="36" xfId="0" applyFont="1" applyBorder="1" applyAlignment="1">
      <alignment horizontal="center"/>
    </xf>
    <xf numFmtId="44" fontId="6" fillId="0" borderId="36" xfId="0" applyNumberFormat="1" applyFont="1" applyBorder="1"/>
    <xf numFmtId="40" fontId="6" fillId="0" borderId="40" xfId="0" applyNumberFormat="1" applyFont="1" applyBorder="1" applyAlignment="1">
      <alignment horizontal="right"/>
    </xf>
    <xf numFmtId="164" fontId="6" fillId="0" borderId="40" xfId="0" applyFont="1" applyBorder="1" applyAlignment="1">
      <alignment horizontal="center"/>
    </xf>
    <xf numFmtId="44" fontId="6" fillId="0" borderId="40" xfId="0" applyNumberFormat="1" applyFont="1" applyBorder="1" applyAlignment="1">
      <alignment horizontal="right"/>
    </xf>
    <xf numFmtId="179" fontId="6" fillId="0" borderId="4" xfId="0" applyNumberFormat="1" applyFont="1" applyBorder="1"/>
    <xf numFmtId="42" fontId="6" fillId="0" borderId="4" xfId="0" applyNumberFormat="1" applyFont="1" applyBorder="1"/>
    <xf numFmtId="179" fontId="6" fillId="0" borderId="35" xfId="0" applyNumberFormat="1" applyFont="1" applyBorder="1"/>
    <xf numFmtId="42" fontId="6" fillId="0" borderId="39" xfId="0" applyNumberFormat="1" applyFont="1" applyBorder="1"/>
    <xf numFmtId="42" fontId="6" fillId="0" borderId="40" xfId="0" applyNumberFormat="1" applyFont="1" applyBorder="1"/>
    <xf numFmtId="42" fontId="6" fillId="0" borderId="38" xfId="0" applyNumberFormat="1" applyFont="1" applyBorder="1"/>
    <xf numFmtId="179" fontId="6" fillId="18" borderId="0" xfId="0" applyNumberFormat="1" applyFont="1" applyFill="1"/>
    <xf numFmtId="179" fontId="6" fillId="0" borderId="7" xfId="0" applyNumberFormat="1" applyFont="1" applyBorder="1"/>
    <xf numFmtId="167" fontId="6" fillId="0" borderId="0" xfId="0" applyNumberFormat="1" applyFont="1"/>
    <xf numFmtId="164" fontId="6" fillId="0" borderId="0" xfId="0" applyFont="1" applyAlignment="1">
      <alignment horizontal="left" indent="1"/>
    </xf>
    <xf numFmtId="164" fontId="6" fillId="24" borderId="6" xfId="0" applyFont="1" applyFill="1" applyBorder="1" applyAlignment="1">
      <alignment horizontal="left"/>
    </xf>
    <xf numFmtId="38" fontId="6" fillId="24" borderId="29" xfId="0" applyNumberFormat="1" applyFont="1" applyFill="1" applyBorder="1"/>
    <xf numFmtId="182" fontId="6" fillId="24" borderId="10" xfId="0" applyNumberFormat="1" applyFont="1" applyFill="1" applyBorder="1"/>
    <xf numFmtId="38" fontId="6" fillId="24" borderId="5" xfId="0" applyNumberFormat="1" applyFont="1" applyFill="1" applyBorder="1"/>
    <xf numFmtId="176" fontId="6" fillId="24" borderId="10" xfId="0" applyNumberFormat="1" applyFont="1" applyFill="1" applyBorder="1"/>
    <xf numFmtId="165" fontId="6" fillId="24" borderId="0" xfId="0" applyNumberFormat="1" applyFont="1" applyFill="1"/>
    <xf numFmtId="42" fontId="6" fillId="24" borderId="0" xfId="0" applyNumberFormat="1" applyFont="1" applyFill="1"/>
    <xf numFmtId="164" fontId="6" fillId="18" borderId="11" xfId="0" applyFont="1" applyFill="1" applyBorder="1" applyAlignment="1">
      <alignment horizontal="left"/>
    </xf>
    <xf numFmtId="38" fontId="6" fillId="18" borderId="30" xfId="0" applyNumberFormat="1" applyFont="1" applyFill="1" applyBorder="1"/>
    <xf numFmtId="182" fontId="6" fillId="18" borderId="5" xfId="0" applyNumberFormat="1" applyFont="1" applyFill="1" applyBorder="1"/>
    <xf numFmtId="38" fontId="6" fillId="18" borderId="5" xfId="0" applyNumberFormat="1" applyFont="1" applyFill="1" applyBorder="1"/>
    <xf numFmtId="176" fontId="6" fillId="18" borderId="5" xfId="0" applyNumberFormat="1" applyFont="1" applyFill="1" applyBorder="1"/>
    <xf numFmtId="165" fontId="6" fillId="18" borderId="0" xfId="0" applyNumberFormat="1" applyFont="1" applyFill="1"/>
    <xf numFmtId="164" fontId="6" fillId="24" borderId="8" xfId="0" applyFont="1" applyFill="1" applyBorder="1" applyAlignment="1">
      <alignment horizontal="left"/>
    </xf>
    <xf numFmtId="38" fontId="6" fillId="24" borderId="31" xfId="0" applyNumberFormat="1" applyFont="1" applyFill="1" applyBorder="1"/>
    <xf numFmtId="182" fontId="6" fillId="24" borderId="12" xfId="0" applyNumberFormat="1" applyFont="1" applyFill="1" applyBorder="1"/>
    <xf numFmtId="176" fontId="6" fillId="24" borderId="12" xfId="0" applyNumberFormat="1" applyFont="1" applyFill="1" applyBorder="1"/>
    <xf numFmtId="164" fontId="7" fillId="24" borderId="0" xfId="0" applyFont="1" applyFill="1" applyAlignment="1">
      <alignment horizontal="left"/>
    </xf>
    <xf numFmtId="164" fontId="7" fillId="24" borderId="0" xfId="0" applyFont="1" applyFill="1"/>
    <xf numFmtId="164" fontId="6" fillId="24" borderId="0" xfId="0" applyFont="1" applyFill="1"/>
    <xf numFmtId="37" fontId="6" fillId="24" borderId="0" xfId="0" applyNumberFormat="1" applyFont="1" applyFill="1"/>
    <xf numFmtId="173" fontId="6" fillId="24" borderId="0" xfId="0" applyNumberFormat="1" applyFont="1" applyFill="1"/>
    <xf numFmtId="164" fontId="7" fillId="18" borderId="0" xfId="0" applyFont="1" applyFill="1" applyAlignment="1">
      <alignment horizontal="left"/>
    </xf>
    <xf numFmtId="164" fontId="7" fillId="18" borderId="0" xfId="0" applyFont="1" applyFill="1"/>
    <xf numFmtId="164" fontId="7" fillId="18" borderId="0" xfId="0" applyFont="1" applyFill="1" applyAlignment="1">
      <alignment horizontal="right"/>
    </xf>
    <xf numFmtId="164" fontId="6" fillId="18" borderId="11" xfId="0" applyFont="1" applyFill="1" applyBorder="1" applyAlignment="1">
      <alignment horizontal="left" shrinkToFit="1"/>
    </xf>
    <xf numFmtId="40" fontId="6" fillId="18" borderId="11" xfId="0" applyNumberFormat="1" applyFont="1" applyFill="1" applyBorder="1" applyAlignment="1">
      <alignment horizontal="right"/>
    </xf>
    <xf numFmtId="164" fontId="6" fillId="18" borderId="11" xfId="0" applyFont="1" applyFill="1" applyBorder="1" applyAlignment="1">
      <alignment horizontal="center"/>
    </xf>
    <xf numFmtId="44" fontId="6" fillId="18" borderId="11" xfId="0" applyNumberFormat="1" applyFont="1" applyFill="1" applyBorder="1" applyAlignment="1">
      <alignment horizontal="right"/>
    </xf>
    <xf numFmtId="164" fontId="6" fillId="18" borderId="11" xfId="0" quotePrefix="1" applyFont="1" applyFill="1" applyBorder="1" applyAlignment="1">
      <alignment horizontal="left" shrinkToFit="1"/>
    </xf>
    <xf numFmtId="164" fontId="6" fillId="18" borderId="40" xfId="0" applyFont="1" applyFill="1" applyBorder="1" applyAlignment="1">
      <alignment horizontal="left" shrinkToFit="1"/>
    </xf>
    <xf numFmtId="40" fontId="6" fillId="18" borderId="40" xfId="0" applyNumberFormat="1" applyFont="1" applyFill="1" applyBorder="1" applyAlignment="1">
      <alignment horizontal="right"/>
    </xf>
    <xf numFmtId="164" fontId="6" fillId="18" borderId="40" xfId="0" applyFont="1" applyFill="1" applyBorder="1" applyAlignment="1">
      <alignment horizontal="center"/>
    </xf>
    <xf numFmtId="44" fontId="6" fillId="18" borderId="40" xfId="0" applyNumberFormat="1" applyFont="1" applyFill="1" applyBorder="1" applyAlignment="1">
      <alignment horizontal="right"/>
    </xf>
    <xf numFmtId="164" fontId="6" fillId="18" borderId="38" xfId="0" quotePrefix="1" applyFont="1" applyFill="1" applyBorder="1" applyAlignment="1">
      <alignment horizontal="left" shrinkToFit="1"/>
    </xf>
    <xf numFmtId="40" fontId="6" fillId="18" borderId="38" xfId="0" applyNumberFormat="1" applyFont="1" applyFill="1" applyBorder="1" applyAlignment="1">
      <alignment horizontal="right"/>
    </xf>
    <xf numFmtId="164" fontId="6" fillId="18" borderId="38" xfId="0" applyFont="1" applyFill="1" applyBorder="1" applyAlignment="1">
      <alignment horizontal="center"/>
    </xf>
    <xf numFmtId="44" fontId="6" fillId="18" borderId="38" xfId="0" applyNumberFormat="1" applyFont="1" applyFill="1" applyBorder="1" applyAlignment="1">
      <alignment horizontal="right"/>
    </xf>
    <xf numFmtId="164" fontId="7" fillId="18" borderId="0" xfId="0" applyFont="1" applyFill="1" applyAlignment="1">
      <alignment horizontal="left" indent="1"/>
    </xf>
    <xf numFmtId="164" fontId="6" fillId="18" borderId="0" xfId="0" applyFont="1" applyFill="1" applyAlignment="1">
      <alignment horizontal="left"/>
    </xf>
    <xf numFmtId="179" fontId="6" fillId="18" borderId="0" xfId="274" applyNumberFormat="1" applyFont="1" applyFill="1" applyBorder="1" applyProtection="1"/>
    <xf numFmtId="166" fontId="6" fillId="18" borderId="0" xfId="0" applyNumberFormat="1" applyFont="1" applyFill="1"/>
    <xf numFmtId="42" fontId="7" fillId="0" borderId="37" xfId="0" applyNumberFormat="1" applyFont="1" applyBorder="1"/>
    <xf numFmtId="164" fontId="47" fillId="0" borderId="0" xfId="0" applyFont="1" applyAlignment="1">
      <alignment horizontal="center" vertical="center"/>
    </xf>
    <xf numFmtId="0" fontId="61" fillId="0" borderId="0" xfId="343" applyFont="1"/>
    <xf numFmtId="0" fontId="62" fillId="0" borderId="0" xfId="343" applyFont="1"/>
    <xf numFmtId="0" fontId="60" fillId="0" borderId="0" xfId="343"/>
    <xf numFmtId="0" fontId="62" fillId="0" borderId="50" xfId="343" applyFont="1" applyBorder="1" applyAlignment="1">
      <alignment horizontal="right"/>
    </xf>
    <xf numFmtId="184" fontId="66" fillId="0" borderId="52" xfId="344" applyNumberFormat="1" applyFont="1" applyFill="1" applyBorder="1" applyProtection="1"/>
    <xf numFmtId="0" fontId="63" fillId="0" borderId="0" xfId="343" applyFont="1" applyAlignment="1">
      <alignment horizontal="center"/>
    </xf>
    <xf numFmtId="0" fontId="62" fillId="0" borderId="14" xfId="343" applyFont="1" applyBorder="1" applyAlignment="1">
      <alignment horizontal="right"/>
    </xf>
    <xf numFmtId="14" fontId="62" fillId="0" borderId="53" xfId="343" applyNumberFormat="1" applyFont="1" applyBorder="1"/>
    <xf numFmtId="180" fontId="66" fillId="0" borderId="53" xfId="345" applyNumberFormat="1" applyFont="1" applyBorder="1" applyProtection="1"/>
    <xf numFmtId="0" fontId="65" fillId="0" borderId="15" xfId="343" applyFont="1" applyBorder="1" applyAlignment="1">
      <alignment horizontal="right"/>
    </xf>
    <xf numFmtId="184" fontId="65" fillId="0" borderId="54" xfId="344" applyNumberFormat="1" applyFont="1" applyBorder="1" applyProtection="1"/>
    <xf numFmtId="38" fontId="58" fillId="0" borderId="0" xfId="0" applyNumberFormat="1" applyFont="1"/>
    <xf numFmtId="38" fontId="59" fillId="0" borderId="0" xfId="0" applyNumberFormat="1" applyFont="1"/>
    <xf numFmtId="0" fontId="68" fillId="21" borderId="14" xfId="343" applyFont="1" applyFill="1" applyBorder="1" applyAlignment="1">
      <alignment horizontal="right"/>
    </xf>
    <xf numFmtId="184" fontId="68" fillId="21" borderId="53" xfId="344" applyNumberFormat="1" applyFont="1" applyFill="1" applyBorder="1" applyProtection="1"/>
    <xf numFmtId="181" fontId="37" fillId="21" borderId="0" xfId="0" applyNumberFormat="1" applyFont="1" applyFill="1"/>
    <xf numFmtId="42" fontId="37" fillId="21" borderId="0" xfId="0" applyNumberFormat="1" applyFont="1" applyFill="1"/>
    <xf numFmtId="184" fontId="67" fillId="25" borderId="0" xfId="343" applyNumberFormat="1" applyFont="1" applyFill="1"/>
    <xf numFmtId="0" fontId="67" fillId="0" borderId="0" xfId="343" applyFont="1"/>
    <xf numFmtId="164" fontId="36" fillId="0" borderId="0" xfId="0" applyFont="1"/>
    <xf numFmtId="14" fontId="60" fillId="0" borderId="0" xfId="343" applyNumberFormat="1"/>
    <xf numFmtId="0" fontId="69" fillId="0" borderId="0" xfId="343" applyFont="1"/>
    <xf numFmtId="9" fontId="60" fillId="0" borderId="0" xfId="343" applyNumberFormat="1"/>
    <xf numFmtId="10" fontId="0" fillId="0" borderId="0" xfId="345" applyNumberFormat="1" applyFont="1"/>
    <xf numFmtId="43" fontId="60" fillId="0" borderId="0" xfId="343" applyNumberFormat="1"/>
    <xf numFmtId="17" fontId="60" fillId="0" borderId="43" xfId="343" applyNumberFormat="1" applyBorder="1"/>
    <xf numFmtId="9" fontId="60" fillId="0" borderId="44" xfId="343" applyNumberFormat="1" applyBorder="1"/>
    <xf numFmtId="0" fontId="60" fillId="0" borderId="57" xfId="343" applyBorder="1"/>
    <xf numFmtId="17" fontId="60" fillId="0" borderId="16" xfId="343" applyNumberFormat="1" applyBorder="1"/>
    <xf numFmtId="10" fontId="60" fillId="0" borderId="0" xfId="343" applyNumberFormat="1"/>
    <xf numFmtId="17" fontId="60" fillId="0" borderId="45" xfId="343" applyNumberFormat="1" applyBorder="1"/>
    <xf numFmtId="10" fontId="60" fillId="0" borderId="36" xfId="343" applyNumberFormat="1" applyBorder="1"/>
    <xf numFmtId="10" fontId="60" fillId="0" borderId="44" xfId="343" applyNumberFormat="1" applyBorder="1"/>
    <xf numFmtId="10" fontId="70" fillId="0" borderId="0" xfId="345" applyNumberFormat="1" applyFont="1" applyBorder="1"/>
    <xf numFmtId="10" fontId="70" fillId="0" borderId="17" xfId="345" applyNumberFormat="1" applyFont="1" applyBorder="1"/>
    <xf numFmtId="10" fontId="70" fillId="0" borderId="46" xfId="345" applyNumberFormat="1" applyFont="1" applyBorder="1"/>
    <xf numFmtId="10" fontId="70" fillId="0" borderId="57" xfId="345" applyNumberFormat="1" applyFont="1" applyBorder="1"/>
    <xf numFmtId="0" fontId="71" fillId="0" borderId="0" xfId="343" applyFont="1"/>
    <xf numFmtId="0" fontId="73" fillId="0" borderId="0" xfId="343" applyFont="1"/>
    <xf numFmtId="164" fontId="50" fillId="0" borderId="0" xfId="0" applyFont="1" applyAlignment="1">
      <alignment horizontal="center"/>
    </xf>
    <xf numFmtId="164" fontId="4" fillId="29" borderId="0" xfId="0" applyFont="1" applyFill="1" applyAlignment="1">
      <alignment horizontal="center"/>
    </xf>
    <xf numFmtId="164" fontId="42" fillId="28" borderId="0" xfId="0" applyFont="1" applyFill="1" applyAlignment="1">
      <alignment horizontal="center"/>
    </xf>
    <xf numFmtId="164" fontId="42" fillId="30" borderId="0" xfId="0" applyFont="1" applyFill="1" applyAlignment="1">
      <alignment horizontal="center"/>
    </xf>
    <xf numFmtId="164" fontId="42" fillId="31" borderId="0" xfId="0" applyFont="1" applyFill="1" applyAlignment="1">
      <alignment horizontal="center"/>
    </xf>
    <xf numFmtId="164" fontId="42" fillId="32" borderId="0" xfId="0" applyFont="1" applyFill="1" applyAlignment="1">
      <alignment horizontal="center"/>
    </xf>
    <xf numFmtId="164" fontId="42" fillId="33" borderId="0" xfId="0" applyFont="1" applyFill="1" applyAlignment="1">
      <alignment horizontal="center"/>
    </xf>
    <xf numFmtId="164" fontId="50" fillId="0" borderId="0" xfId="0" applyFont="1"/>
    <xf numFmtId="38" fontId="4" fillId="0" borderId="0" xfId="0" applyNumberFormat="1" applyFont="1"/>
    <xf numFmtId="37" fontId="6" fillId="0" borderId="0" xfId="0" applyNumberFormat="1" applyFont="1" applyProtection="1">
      <protection locked="0"/>
    </xf>
    <xf numFmtId="38" fontId="7" fillId="0" borderId="58" xfId="0" applyNumberFormat="1" applyFont="1" applyBorder="1"/>
    <xf numFmtId="38" fontId="2" fillId="0" borderId="0" xfId="0" applyNumberFormat="1" applyFont="1"/>
    <xf numFmtId="0" fontId="4" fillId="0" borderId="0" xfId="0" applyNumberFormat="1" applyFont="1" applyAlignment="1">
      <alignment horizontal="right" vertical="top"/>
    </xf>
    <xf numFmtId="164" fontId="4" fillId="0" borderId="0" xfId="0" applyFont="1" applyAlignment="1">
      <alignment horizontal="justify" vertical="top" wrapText="1"/>
    </xf>
    <xf numFmtId="49" fontId="4" fillId="0" borderId="0" xfId="0" applyNumberFormat="1" applyFont="1" applyAlignment="1">
      <alignment horizontal="right" vertical="top"/>
    </xf>
    <xf numFmtId="164" fontId="38" fillId="0" borderId="0" xfId="0" applyFont="1" applyAlignment="1">
      <alignment horizontal="justify" vertical="top" wrapText="1"/>
    </xf>
    <xf numFmtId="164" fontId="47" fillId="0" borderId="0" xfId="0" applyFont="1" applyAlignment="1">
      <alignment vertical="center"/>
    </xf>
    <xf numFmtId="170" fontId="6" fillId="18" borderId="0" xfId="0" applyNumberFormat="1" applyFont="1" applyFill="1"/>
    <xf numFmtId="179" fontId="6" fillId="18" borderId="0" xfId="274" applyNumberFormat="1" applyFont="1" applyFill="1" applyProtection="1"/>
    <xf numFmtId="0" fontId="60" fillId="0" borderId="59" xfId="343" applyBorder="1"/>
    <xf numFmtId="184" fontId="70" fillId="26" borderId="59" xfId="344" applyNumberFormat="1" applyFont="1" applyFill="1" applyBorder="1"/>
    <xf numFmtId="0" fontId="60" fillId="0" borderId="14" xfId="343" applyBorder="1"/>
    <xf numFmtId="14" fontId="60" fillId="27" borderId="14" xfId="343" applyNumberFormat="1" applyFill="1" applyBorder="1"/>
    <xf numFmtId="10" fontId="70" fillId="0" borderId="14" xfId="345" applyNumberFormat="1" applyFont="1" applyBorder="1"/>
    <xf numFmtId="184" fontId="70" fillId="25" borderId="14" xfId="344" applyNumberFormat="1" applyFont="1" applyFill="1" applyBorder="1"/>
    <xf numFmtId="0" fontId="72" fillId="0" borderId="15" xfId="343" applyFont="1" applyBorder="1"/>
    <xf numFmtId="184" fontId="72" fillId="0" borderId="15" xfId="344" applyNumberFormat="1" applyFont="1" applyBorder="1"/>
    <xf numFmtId="38" fontId="75" fillId="0" borderId="0" xfId="0" applyNumberFormat="1" applyFont="1"/>
    <xf numFmtId="42" fontId="35" fillId="0" borderId="0" xfId="0" applyNumberFormat="1" applyFont="1"/>
    <xf numFmtId="42" fontId="35" fillId="0" borderId="36" xfId="0" applyNumberFormat="1" applyFont="1" applyBorder="1"/>
    <xf numFmtId="42" fontId="74" fillId="0" borderId="0" xfId="0" applyNumberFormat="1" applyFont="1"/>
    <xf numFmtId="42" fontId="35" fillId="0" borderId="55" xfId="0" applyNumberFormat="1" applyFont="1" applyBorder="1"/>
    <xf numFmtId="42" fontId="35" fillId="0" borderId="56" xfId="0" applyNumberFormat="1" applyFont="1" applyBorder="1"/>
    <xf numFmtId="164" fontId="35" fillId="0" borderId="0" xfId="0" applyFont="1"/>
    <xf numFmtId="38" fontId="76" fillId="0" borderId="0" xfId="0" applyNumberFormat="1" applyFont="1"/>
    <xf numFmtId="164" fontId="74" fillId="0" borderId="0" xfId="0" applyFont="1"/>
    <xf numFmtId="179" fontId="47" fillId="0" borderId="0" xfId="274" applyNumberFormat="1" applyFont="1" applyProtection="1"/>
    <xf numFmtId="164" fontId="47" fillId="0" borderId="0" xfId="0" applyFont="1"/>
    <xf numFmtId="42" fontId="47" fillId="0" borderId="0" xfId="0" applyNumberFormat="1" applyFont="1"/>
    <xf numFmtId="183" fontId="47" fillId="0" borderId="0" xfId="0" applyNumberFormat="1" applyFont="1"/>
    <xf numFmtId="179" fontId="4" fillId="0" borderId="0" xfId="347" applyNumberFormat="1" applyFont="1" applyFill="1" applyBorder="1" applyProtection="1"/>
    <xf numFmtId="179" fontId="76" fillId="0" borderId="0" xfId="347" applyNumberFormat="1" applyFont="1" applyProtection="1"/>
    <xf numFmtId="171" fontId="38" fillId="0" borderId="4" xfId="346" applyNumberFormat="1" applyFont="1" applyBorder="1" applyAlignment="1" applyProtection="1">
      <alignment horizontal="right"/>
      <protection locked="0"/>
    </xf>
    <xf numFmtId="171" fontId="4" fillId="0" borderId="0" xfId="346" applyNumberFormat="1" applyFont="1" applyAlignment="1">
      <alignment horizontal="right"/>
    </xf>
    <xf numFmtId="178" fontId="47" fillId="0" borderId="0" xfId="0" applyNumberFormat="1" applyFont="1" applyAlignment="1">
      <alignment horizontal="center"/>
    </xf>
    <xf numFmtId="0" fontId="76" fillId="0" borderId="0" xfId="346" applyFont="1"/>
    <xf numFmtId="0" fontId="77" fillId="0" borderId="0" xfId="346" applyFont="1" applyAlignment="1">
      <alignment horizontal="center"/>
    </xf>
    <xf numFmtId="0" fontId="76" fillId="0" borderId="0" xfId="346" applyFont="1" applyAlignment="1">
      <alignment horizontal="center"/>
    </xf>
    <xf numFmtId="0" fontId="1" fillId="0" borderId="0" xfId="346"/>
    <xf numFmtId="0" fontId="77" fillId="0" borderId="0" xfId="346" applyFont="1" applyAlignment="1">
      <alignment horizontal="right"/>
    </xf>
    <xf numFmtId="185" fontId="4" fillId="0" borderId="0" xfId="346" applyNumberFormat="1" applyFont="1" applyAlignment="1">
      <alignment horizontal="right"/>
    </xf>
    <xf numFmtId="0" fontId="4" fillId="0" borderId="0" xfId="346" applyFont="1"/>
    <xf numFmtId="186" fontId="4" fillId="0" borderId="0" xfId="346" applyNumberFormat="1" applyFont="1" applyAlignment="1">
      <alignment horizontal="right"/>
    </xf>
    <xf numFmtId="187" fontId="76" fillId="0" borderId="0" xfId="346" applyNumberFormat="1" applyFont="1" applyAlignment="1">
      <alignment horizontal="right"/>
    </xf>
    <xf numFmtId="0" fontId="76" fillId="0" borderId="0" xfId="346" applyFont="1" applyAlignment="1">
      <alignment horizontal="right"/>
    </xf>
    <xf numFmtId="187" fontId="78" fillId="0" borderId="0" xfId="346" applyNumberFormat="1" applyFont="1" applyAlignment="1">
      <alignment horizontal="center"/>
    </xf>
    <xf numFmtId="0" fontId="2" fillId="0" borderId="0" xfId="346" applyFont="1" applyAlignment="1">
      <alignment horizontal="right"/>
    </xf>
    <xf numFmtId="187" fontId="4" fillId="0" borderId="0" xfId="346" applyNumberFormat="1" applyFont="1" applyAlignment="1">
      <alignment horizontal="right"/>
    </xf>
    <xf numFmtId="185" fontId="76" fillId="0" borderId="0" xfId="346" applyNumberFormat="1" applyFont="1"/>
    <xf numFmtId="0" fontId="76" fillId="0" borderId="46" xfId="346" applyFont="1" applyBorder="1" applyAlignment="1">
      <alignment horizontal="right"/>
    </xf>
    <xf numFmtId="186" fontId="77" fillId="34" borderId="4" xfId="346" quotePrefix="1" applyNumberFormat="1" applyFont="1" applyFill="1" applyBorder="1" applyAlignment="1">
      <alignment horizontal="center"/>
    </xf>
    <xf numFmtId="185" fontId="77" fillId="34" borderId="27" xfId="346" applyNumberFormat="1" applyFont="1" applyFill="1" applyBorder="1" applyAlignment="1">
      <alignment horizontal="right"/>
    </xf>
    <xf numFmtId="178" fontId="76" fillId="0" borderId="27" xfId="346" applyNumberFormat="1" applyFont="1" applyBorder="1" applyAlignment="1">
      <alignment horizontal="right"/>
    </xf>
    <xf numFmtId="178" fontId="57" fillId="0" borderId="27" xfId="346" applyNumberFormat="1" applyFont="1" applyBorder="1" applyAlignment="1">
      <alignment horizontal="center"/>
    </xf>
    <xf numFmtId="185" fontId="77" fillId="34" borderId="14" xfId="346" applyNumberFormat="1" applyFont="1" applyFill="1" applyBorder="1" applyAlignment="1">
      <alignment horizontal="right"/>
    </xf>
    <xf numFmtId="178" fontId="76" fillId="0" borderId="14" xfId="346" applyNumberFormat="1" applyFont="1" applyBorder="1" applyAlignment="1">
      <alignment horizontal="right"/>
    </xf>
    <xf numFmtId="178" fontId="57" fillId="0" borderId="14" xfId="346" applyNumberFormat="1" applyFont="1" applyBorder="1" applyAlignment="1">
      <alignment horizontal="center"/>
    </xf>
    <xf numFmtId="178" fontId="40" fillId="0" borderId="14" xfId="346" applyNumberFormat="1" applyFont="1" applyBorder="1"/>
    <xf numFmtId="185" fontId="77" fillId="34" borderId="15" xfId="346" applyNumberFormat="1" applyFont="1" applyFill="1" applyBorder="1" applyAlignment="1">
      <alignment horizontal="right"/>
    </xf>
    <xf numFmtId="178" fontId="40" fillId="0" borderId="15" xfId="346" applyNumberFormat="1" applyFont="1" applyBorder="1"/>
    <xf numFmtId="178" fontId="57" fillId="0" borderId="15" xfId="346" applyNumberFormat="1" applyFont="1" applyBorder="1" applyAlignment="1">
      <alignment horizontal="center"/>
    </xf>
    <xf numFmtId="180" fontId="37" fillId="0" borderId="35" xfId="0" applyNumberFormat="1" applyFont="1" applyBorder="1" applyProtection="1">
      <protection locked="0"/>
    </xf>
    <xf numFmtId="178" fontId="64" fillId="0" borderId="0" xfId="343" applyNumberFormat="1" applyFont="1"/>
    <xf numFmtId="178" fontId="6" fillId="0" borderId="0" xfId="0" applyNumberFormat="1" applyFont="1"/>
    <xf numFmtId="1" fontId="6" fillId="0" borderId="0" xfId="0" applyNumberFormat="1" applyFont="1"/>
    <xf numFmtId="178" fontId="6" fillId="0" borderId="0" xfId="0" applyNumberFormat="1" applyFont="1" applyAlignment="1">
      <alignment horizontal="center"/>
    </xf>
    <xf numFmtId="180" fontId="6" fillId="0" borderId="35" xfId="0" applyNumberFormat="1" applyFont="1" applyBorder="1"/>
    <xf numFmtId="164" fontId="4" fillId="0" borderId="8" xfId="0" applyFont="1" applyBorder="1"/>
    <xf numFmtId="6" fontId="4" fillId="0" borderId="27" xfId="0" applyNumberFormat="1" applyFont="1" applyBorder="1" applyAlignment="1">
      <alignment vertical="top"/>
    </xf>
    <xf numFmtId="6" fontId="4" fillId="0" borderId="27" xfId="0" applyNumberFormat="1" applyFont="1" applyBorder="1" applyAlignment="1">
      <alignment horizontal="right" vertical="top"/>
    </xf>
    <xf numFmtId="6" fontId="4" fillId="0" borderId="59" xfId="0" applyNumberFormat="1" applyFont="1" applyBorder="1" applyAlignment="1">
      <alignment vertical="top"/>
    </xf>
    <xf numFmtId="6" fontId="4" fillId="0" borderId="50" xfId="0" applyNumberFormat="1" applyFont="1" applyBorder="1" applyAlignment="1">
      <alignment horizontal="right" vertical="top"/>
    </xf>
    <xf numFmtId="0" fontId="4" fillId="0" borderId="14" xfId="0" applyNumberFormat="1" applyFont="1" applyBorder="1" applyAlignment="1">
      <alignment horizontal="right" vertical="top"/>
    </xf>
    <xf numFmtId="164" fontId="41" fillId="0" borderId="0" xfId="0" applyFont="1" applyAlignment="1">
      <alignment horizontal="center"/>
    </xf>
    <xf numFmtId="164" fontId="78" fillId="0" borderId="0" xfId="0" applyFont="1" applyAlignment="1">
      <alignment horizontal="center" vertical="center"/>
    </xf>
    <xf numFmtId="185" fontId="80" fillId="0" borderId="0" xfId="346" applyNumberFormat="1" applyFont="1" applyAlignment="1">
      <alignment horizontal="right"/>
    </xf>
    <xf numFmtId="0" fontId="80" fillId="0" borderId="0" xfId="346" applyFont="1"/>
    <xf numFmtId="186" fontId="80" fillId="0" borderId="0" xfId="346" applyNumberFormat="1" applyFont="1" applyAlignment="1">
      <alignment horizontal="right"/>
    </xf>
    <xf numFmtId="187" fontId="80" fillId="0" borderId="0" xfId="346" applyNumberFormat="1" applyFont="1" applyAlignment="1">
      <alignment horizontal="right"/>
    </xf>
    <xf numFmtId="171" fontId="80" fillId="0" borderId="0" xfId="346" applyNumberFormat="1" applyFont="1" applyAlignment="1">
      <alignment horizontal="right"/>
    </xf>
    <xf numFmtId="185" fontId="80" fillId="0" borderId="0" xfId="346" applyNumberFormat="1" applyFont="1"/>
    <xf numFmtId="179" fontId="80" fillId="0" borderId="0" xfId="347" applyNumberFormat="1" applyFont="1" applyProtection="1"/>
    <xf numFmtId="188" fontId="80" fillId="0" borderId="0" xfId="347" applyNumberFormat="1" applyFont="1" applyProtection="1"/>
    <xf numFmtId="0" fontId="81" fillId="0" borderId="0" xfId="346" applyFont="1" applyAlignment="1">
      <alignment horizontal="center"/>
    </xf>
    <xf numFmtId="0" fontId="82" fillId="0" borderId="0" xfId="346" applyFont="1" applyAlignment="1">
      <alignment horizontal="right"/>
    </xf>
    <xf numFmtId="185" fontId="84" fillId="0" borderId="0" xfId="346" applyNumberFormat="1" applyFont="1" applyAlignment="1">
      <alignment horizontal="right"/>
    </xf>
    <xf numFmtId="0" fontId="84" fillId="0" borderId="0" xfId="346" applyFont="1"/>
    <xf numFmtId="186" fontId="84" fillId="0" borderId="0" xfId="346" applyNumberFormat="1" applyFont="1" applyAlignment="1">
      <alignment horizontal="right"/>
    </xf>
    <xf numFmtId="187" fontId="84" fillId="0" borderId="0" xfId="346" applyNumberFormat="1" applyFont="1" applyAlignment="1">
      <alignment horizontal="right"/>
    </xf>
    <xf numFmtId="171" fontId="84" fillId="0" borderId="0" xfId="346" applyNumberFormat="1" applyFont="1" applyAlignment="1">
      <alignment horizontal="right"/>
    </xf>
    <xf numFmtId="185" fontId="84" fillId="0" borderId="0" xfId="346" applyNumberFormat="1" applyFont="1"/>
    <xf numFmtId="179" fontId="84" fillId="0" borderId="0" xfId="347" applyNumberFormat="1" applyFont="1" applyProtection="1"/>
    <xf numFmtId="188" fontId="84" fillId="0" borderId="0" xfId="347" applyNumberFormat="1" applyFont="1" applyProtection="1"/>
    <xf numFmtId="0" fontId="85" fillId="0" borderId="0" xfId="346" applyFont="1" applyAlignment="1">
      <alignment horizontal="center"/>
    </xf>
    <xf numFmtId="0" fontId="86" fillId="0" borderId="0" xfId="346" applyFont="1" applyAlignment="1">
      <alignment horizontal="right"/>
    </xf>
    <xf numFmtId="0" fontId="87" fillId="0" borderId="0" xfId="346" applyFont="1" applyAlignment="1">
      <alignment horizontal="center"/>
    </xf>
    <xf numFmtId="0" fontId="88" fillId="0" borderId="0" xfId="346" applyFont="1" applyAlignment="1">
      <alignment horizontal="right"/>
    </xf>
    <xf numFmtId="185" fontId="90" fillId="0" borderId="0" xfId="346" applyNumberFormat="1" applyFont="1" applyAlignment="1">
      <alignment horizontal="right"/>
    </xf>
    <xf numFmtId="0" fontId="90" fillId="0" borderId="0" xfId="346" applyFont="1"/>
    <xf numFmtId="186" fontId="90" fillId="0" borderId="0" xfId="346" applyNumberFormat="1" applyFont="1" applyAlignment="1">
      <alignment horizontal="right"/>
    </xf>
    <xf numFmtId="187" fontId="90" fillId="0" borderId="0" xfId="346" applyNumberFormat="1" applyFont="1" applyAlignment="1">
      <alignment horizontal="right"/>
    </xf>
    <xf numFmtId="171" fontId="90" fillId="0" borderId="0" xfId="346" applyNumberFormat="1" applyFont="1" applyAlignment="1">
      <alignment horizontal="right"/>
    </xf>
    <xf numFmtId="185" fontId="90" fillId="0" borderId="0" xfId="346" applyNumberFormat="1" applyFont="1"/>
    <xf numFmtId="179" fontId="90" fillId="0" borderId="0" xfId="347" applyNumberFormat="1" applyFont="1" applyProtection="1"/>
    <xf numFmtId="188" fontId="90" fillId="0" borderId="0" xfId="347" applyNumberFormat="1" applyFont="1" applyProtection="1"/>
    <xf numFmtId="0" fontId="91" fillId="0" borderId="0" xfId="346" applyFont="1" applyAlignment="1">
      <alignment horizontal="center"/>
    </xf>
    <xf numFmtId="0" fontId="91" fillId="0" borderId="0" xfId="346" applyFont="1" applyAlignment="1">
      <alignment horizontal="right"/>
    </xf>
    <xf numFmtId="185" fontId="93" fillId="0" borderId="0" xfId="346" applyNumberFormat="1" applyFont="1" applyAlignment="1">
      <alignment horizontal="right"/>
    </xf>
    <xf numFmtId="0" fontId="93" fillId="0" borderId="0" xfId="346" applyFont="1"/>
    <xf numFmtId="186" fontId="93" fillId="0" borderId="0" xfId="346" applyNumberFormat="1" applyFont="1" applyAlignment="1">
      <alignment horizontal="right"/>
    </xf>
    <xf numFmtId="187" fontId="93" fillId="0" borderId="0" xfId="346" applyNumberFormat="1" applyFont="1" applyAlignment="1">
      <alignment horizontal="right"/>
    </xf>
    <xf numFmtId="171" fontId="93" fillId="0" borderId="0" xfId="346" applyNumberFormat="1" applyFont="1" applyAlignment="1">
      <alignment horizontal="right"/>
    </xf>
    <xf numFmtId="185" fontId="93" fillId="0" borderId="0" xfId="346" applyNumberFormat="1" applyFont="1"/>
    <xf numFmtId="179" fontId="93" fillId="0" borderId="0" xfId="347" applyNumberFormat="1" applyFont="1" applyProtection="1"/>
    <xf numFmtId="188" fontId="93" fillId="0" borderId="0" xfId="347" applyNumberFormat="1" applyFont="1" applyProtection="1"/>
    <xf numFmtId="178" fontId="51" fillId="0" borderId="0" xfId="0" applyNumberFormat="1" applyFont="1"/>
    <xf numFmtId="9" fontId="60" fillId="0" borderId="0" xfId="274" applyFont="1"/>
    <xf numFmtId="10" fontId="0" fillId="0" borderId="0" xfId="344" applyNumberFormat="1" applyFont="1"/>
    <xf numFmtId="164" fontId="4" fillId="35" borderId="65" xfId="0" applyFont="1" applyFill="1" applyBorder="1" applyAlignment="1">
      <alignment horizontal="center" vertical="center"/>
    </xf>
    <xf numFmtId="164" fontId="4" fillId="0" borderId="65" xfId="0" applyFont="1" applyBorder="1" applyAlignment="1">
      <alignment horizontal="center" vertical="center"/>
    </xf>
    <xf numFmtId="164" fontId="42" fillId="39" borderId="65" xfId="0" applyFont="1" applyFill="1" applyBorder="1" applyAlignment="1">
      <alignment horizontal="center" vertical="center"/>
    </xf>
    <xf numFmtId="164" fontId="42" fillId="38" borderId="65" xfId="0" applyFont="1" applyFill="1" applyBorder="1" applyAlignment="1">
      <alignment horizontal="center" vertical="center"/>
    </xf>
    <xf numFmtId="164" fontId="42" fillId="20" borderId="65" xfId="0" applyFont="1" applyFill="1" applyBorder="1" applyAlignment="1">
      <alignment horizontal="center" vertical="center"/>
    </xf>
    <xf numFmtId="164" fontId="42" fillId="36" borderId="65" xfId="0" applyFont="1" applyFill="1" applyBorder="1" applyAlignment="1">
      <alignment horizontal="center" vertical="center"/>
    </xf>
    <xf numFmtId="164" fontId="42" fillId="37" borderId="65" xfId="0" applyFont="1" applyFill="1" applyBorder="1" applyAlignment="1">
      <alignment horizontal="center" vertical="center"/>
    </xf>
    <xf numFmtId="164" fontId="42" fillId="22" borderId="65" xfId="0" applyFont="1" applyFill="1" applyBorder="1" applyAlignment="1">
      <alignment horizontal="center" vertical="center"/>
    </xf>
    <xf numFmtId="164" fontId="4" fillId="40" borderId="65" xfId="0" applyFont="1" applyFill="1" applyBorder="1" applyAlignment="1">
      <alignment horizontal="center" vertical="center"/>
    </xf>
    <xf numFmtId="164" fontId="6" fillId="0" borderId="66" xfId="0" applyFont="1" applyBorder="1" applyAlignment="1">
      <alignment horizontal="right"/>
    </xf>
    <xf numFmtId="171" fontId="6" fillId="0" borderId="67" xfId="0" applyNumberFormat="1" applyFont="1" applyBorder="1" applyAlignment="1">
      <alignment horizontal="right"/>
    </xf>
    <xf numFmtId="171" fontId="6" fillId="0" borderId="67" xfId="0" applyNumberFormat="1" applyFont="1" applyBorder="1"/>
    <xf numFmtId="10" fontId="4" fillId="0" borderId="0" xfId="274" applyNumberFormat="1" applyFont="1" applyProtection="1"/>
    <xf numFmtId="10" fontId="2" fillId="0" borderId="0" xfId="274" applyNumberFormat="1" applyFont="1" applyProtection="1"/>
    <xf numFmtId="0" fontId="94" fillId="0" borderId="0" xfId="346" applyFont="1" applyAlignment="1">
      <alignment horizontal="right"/>
    </xf>
    <xf numFmtId="0" fontId="40" fillId="0" borderId="0" xfId="346" applyFont="1"/>
    <xf numFmtId="0" fontId="40" fillId="0" borderId="0" xfId="346" applyFont="1" applyAlignment="1">
      <alignment horizontal="center"/>
    </xf>
    <xf numFmtId="188" fontId="38" fillId="19" borderId="65" xfId="347" applyNumberFormat="1" applyFont="1" applyFill="1" applyBorder="1" applyProtection="1">
      <protection locked="0"/>
    </xf>
    <xf numFmtId="189" fontId="95" fillId="0" borderId="0" xfId="346" applyNumberFormat="1" applyFont="1"/>
    <xf numFmtId="49" fontId="4" fillId="0" borderId="14" xfId="0" applyNumberFormat="1" applyFont="1" applyBorder="1" applyAlignment="1">
      <alignment horizontal="center" vertical="top"/>
    </xf>
    <xf numFmtId="49" fontId="4" fillId="0" borderId="28" xfId="0" applyNumberFormat="1" applyFont="1" applyBorder="1" applyAlignment="1">
      <alignment vertical="top"/>
    </xf>
    <xf numFmtId="1" fontId="4" fillId="0" borderId="28" xfId="0" applyNumberFormat="1" applyFont="1" applyBorder="1" applyAlignment="1">
      <alignment vertical="top"/>
    </xf>
    <xf numFmtId="6" fontId="4" fillId="0" borderId="11" xfId="0" applyNumberFormat="1" applyFont="1" applyBorder="1" applyAlignment="1">
      <alignment vertical="top"/>
    </xf>
    <xf numFmtId="6" fontId="4" fillId="0" borderId="11" xfId="0" applyNumberFormat="1" applyFont="1" applyBorder="1" applyAlignment="1">
      <alignment horizontal="right" vertical="top"/>
    </xf>
    <xf numFmtId="49" fontId="4" fillId="0" borderId="27" xfId="0" applyNumberFormat="1" applyFont="1" applyBorder="1" applyAlignment="1">
      <alignment horizontal="left" vertical="top" wrapText="1" indent="2"/>
    </xf>
    <xf numFmtId="49" fontId="4" fillId="0" borderId="27" xfId="0" applyNumberFormat="1" applyFont="1" applyBorder="1" applyAlignment="1">
      <alignment horizontal="center" vertical="top"/>
    </xf>
    <xf numFmtId="1" fontId="4" fillId="0" borderId="27" xfId="0" applyNumberFormat="1" applyFont="1" applyBorder="1" applyAlignment="1">
      <alignment vertical="top"/>
    </xf>
    <xf numFmtId="49" fontId="4" fillId="0" borderId="27" xfId="0" applyNumberFormat="1" applyFont="1" applyBorder="1" applyAlignment="1">
      <alignment vertical="top"/>
    </xf>
    <xf numFmtId="164" fontId="7" fillId="18" borderId="0" xfId="0" quotePrefix="1" applyFont="1" applyFill="1" applyAlignment="1">
      <alignment horizontal="left" indent="1"/>
    </xf>
    <xf numFmtId="164" fontId="6" fillId="0" borderId="0" xfId="0" applyFont="1" applyAlignment="1">
      <alignment horizontal="left" indent="2"/>
    </xf>
    <xf numFmtId="164" fontId="37" fillId="21" borderId="0" xfId="0" quotePrefix="1" applyFont="1" applyFill="1" applyAlignment="1">
      <alignment horizontal="left" indent="3"/>
    </xf>
    <xf numFmtId="179" fontId="6" fillId="0" borderId="65" xfId="0" applyNumberFormat="1" applyFont="1" applyBorder="1"/>
    <xf numFmtId="178" fontId="4" fillId="0" borderId="14" xfId="346" applyNumberFormat="1" applyFont="1" applyBorder="1"/>
    <xf numFmtId="164" fontId="98" fillId="0" borderId="0" xfId="0" applyFont="1" applyAlignment="1">
      <alignment horizontal="justify" vertical="top" wrapText="1"/>
    </xf>
    <xf numFmtId="164" fontId="44" fillId="41" borderId="1" xfId="0" applyFont="1" applyFill="1" applyBorder="1" applyAlignment="1">
      <alignment horizontal="left"/>
    </xf>
    <xf numFmtId="164" fontId="45" fillId="41" borderId="2" xfId="0" applyFont="1" applyFill="1" applyBorder="1"/>
    <xf numFmtId="164" fontId="46" fillId="41" borderId="3" xfId="0" applyFont="1" applyFill="1" applyBorder="1" applyAlignment="1">
      <alignment horizontal="right"/>
    </xf>
    <xf numFmtId="38" fontId="6" fillId="42" borderId="5" xfId="0" applyNumberFormat="1" applyFont="1" applyFill="1" applyBorder="1"/>
    <xf numFmtId="165" fontId="6" fillId="42" borderId="0" xfId="0" applyNumberFormat="1" applyFont="1" applyFill="1"/>
    <xf numFmtId="42" fontId="6" fillId="42" borderId="0" xfId="0" applyNumberFormat="1" applyFont="1" applyFill="1"/>
    <xf numFmtId="38" fontId="6" fillId="43" borderId="5" xfId="0" applyNumberFormat="1" applyFont="1" applyFill="1" applyBorder="1"/>
    <xf numFmtId="165" fontId="6" fillId="43" borderId="0" xfId="0" applyNumberFormat="1" applyFont="1" applyFill="1"/>
    <xf numFmtId="42" fontId="6" fillId="43" borderId="0" xfId="0" applyNumberFormat="1" applyFont="1" applyFill="1"/>
    <xf numFmtId="164" fontId="7" fillId="42" borderId="0" xfId="0" applyFont="1" applyFill="1" applyAlignment="1">
      <alignment horizontal="left"/>
    </xf>
    <xf numFmtId="164" fontId="7" fillId="42" borderId="0" xfId="0" applyFont="1" applyFill="1"/>
    <xf numFmtId="164" fontId="6" fillId="42" borderId="0" xfId="0" applyFont="1" applyFill="1"/>
    <xf numFmtId="37" fontId="8" fillId="42" borderId="0" xfId="0" applyNumberFormat="1" applyFont="1" applyFill="1"/>
    <xf numFmtId="173" fontId="6" fillId="42" borderId="0" xfId="0" applyNumberFormat="1" applyFont="1" applyFill="1"/>
    <xf numFmtId="37" fontId="6" fillId="43" borderId="0" xfId="0" applyNumberFormat="1" applyFont="1" applyFill="1"/>
    <xf numFmtId="164" fontId="7" fillId="43" borderId="0" xfId="0" applyFont="1" applyFill="1" applyAlignment="1">
      <alignment horizontal="left"/>
    </xf>
    <xf numFmtId="164" fontId="7" fillId="43" borderId="0" xfId="0" applyFont="1" applyFill="1"/>
    <xf numFmtId="164" fontId="7" fillId="43" borderId="0" xfId="0" applyFont="1" applyFill="1" applyAlignment="1">
      <alignment horizontal="right"/>
    </xf>
    <xf numFmtId="164" fontId="7" fillId="43" borderId="0" xfId="0" applyFont="1" applyFill="1" applyAlignment="1">
      <alignment horizontal="left" indent="1"/>
    </xf>
    <xf numFmtId="164" fontId="6" fillId="43" borderId="0" xfId="0" applyFont="1" applyFill="1"/>
    <xf numFmtId="164" fontId="6" fillId="43" borderId="0" xfId="0" applyFont="1" applyFill="1" applyAlignment="1">
      <alignment horizontal="left"/>
    </xf>
    <xf numFmtId="179" fontId="6" fillId="43" borderId="0" xfId="274" applyNumberFormat="1" applyFont="1" applyFill="1" applyBorder="1" applyProtection="1"/>
    <xf numFmtId="166" fontId="8" fillId="43" borderId="0" xfId="0" applyNumberFormat="1" applyFont="1" applyFill="1"/>
    <xf numFmtId="37" fontId="8" fillId="43" borderId="0" xfId="0" applyNumberFormat="1" applyFont="1" applyFill="1"/>
    <xf numFmtId="9" fontId="6" fillId="43" borderId="0" xfId="0" applyNumberFormat="1" applyFont="1" applyFill="1"/>
    <xf numFmtId="179" fontId="6" fillId="43" borderId="0" xfId="0" applyNumberFormat="1" applyFont="1" applyFill="1"/>
    <xf numFmtId="42" fontId="99" fillId="0" borderId="39" xfId="0" applyNumberFormat="1" applyFont="1" applyBorder="1" applyProtection="1">
      <protection locked="0"/>
    </xf>
    <xf numFmtId="42" fontId="99" fillId="0" borderId="40" xfId="0" applyNumberFormat="1" applyFont="1" applyBorder="1" applyProtection="1">
      <protection locked="0"/>
    </xf>
    <xf numFmtId="42" fontId="99" fillId="0" borderId="38" xfId="0" applyNumberFormat="1" applyFont="1" applyBorder="1" applyProtection="1">
      <protection locked="0"/>
    </xf>
    <xf numFmtId="179" fontId="100" fillId="0" borderId="4" xfId="0" applyNumberFormat="1" applyFont="1" applyBorder="1" applyProtection="1">
      <protection locked="0"/>
    </xf>
    <xf numFmtId="179" fontId="100" fillId="0" borderId="7" xfId="0" applyNumberFormat="1" applyFont="1" applyBorder="1" applyProtection="1">
      <protection locked="0"/>
    </xf>
    <xf numFmtId="164" fontId="100" fillId="0" borderId="0" xfId="0" applyFont="1" applyAlignment="1" applyProtection="1">
      <alignment horizontal="left" indent="1"/>
      <protection locked="0"/>
    </xf>
    <xf numFmtId="164" fontId="100" fillId="0" borderId="0" xfId="0" applyFont="1" applyProtection="1">
      <protection locked="0"/>
    </xf>
    <xf numFmtId="164" fontId="100" fillId="0" borderId="0" xfId="0" applyFont="1"/>
    <xf numFmtId="42" fontId="100" fillId="0" borderId="39" xfId="0" applyNumberFormat="1" applyFont="1" applyBorder="1" applyProtection="1">
      <protection locked="0"/>
    </xf>
    <xf numFmtId="42" fontId="100" fillId="0" borderId="40" xfId="0" applyNumberFormat="1" applyFont="1" applyBorder="1" applyProtection="1">
      <protection locked="0"/>
    </xf>
    <xf numFmtId="42" fontId="100" fillId="0" borderId="38" xfId="0" applyNumberFormat="1" applyFont="1" applyBorder="1" applyProtection="1">
      <protection locked="0"/>
    </xf>
    <xf numFmtId="179" fontId="100" fillId="0" borderId="35" xfId="0" applyNumberFormat="1" applyFont="1" applyBorder="1" applyProtection="1">
      <protection locked="0"/>
    </xf>
    <xf numFmtId="42" fontId="100" fillId="0" borderId="4" xfId="0" applyNumberFormat="1" applyFont="1" applyBorder="1" applyProtection="1">
      <protection locked="0"/>
    </xf>
    <xf numFmtId="179" fontId="100" fillId="0" borderId="65" xfId="0" applyNumberFormat="1" applyFont="1" applyBorder="1" applyProtection="1">
      <protection locked="0"/>
    </xf>
    <xf numFmtId="40" fontId="100" fillId="0" borderId="4" xfId="0" applyNumberFormat="1" applyFont="1" applyBorder="1" applyProtection="1">
      <protection locked="0"/>
    </xf>
    <xf numFmtId="164" fontId="100" fillId="0" borderId="4" xfId="0" applyFont="1" applyBorder="1" applyAlignment="1" applyProtection="1">
      <alignment horizontal="center"/>
      <protection locked="0"/>
    </xf>
    <xf numFmtId="44" fontId="100" fillId="0" borderId="41" xfId="0" applyNumberFormat="1" applyFont="1" applyBorder="1" applyProtection="1">
      <protection locked="0"/>
    </xf>
    <xf numFmtId="38" fontId="100" fillId="0" borderId="32" xfId="0" applyNumberFormat="1" applyFont="1" applyBorder="1" applyProtection="1">
      <protection locked="0"/>
    </xf>
    <xf numFmtId="176" fontId="100" fillId="0" borderId="6" xfId="0" applyNumberFormat="1" applyFont="1" applyBorder="1" applyProtection="1">
      <protection locked="0"/>
    </xf>
    <xf numFmtId="38" fontId="100" fillId="0" borderId="33" xfId="0" applyNumberFormat="1" applyFont="1" applyBorder="1" applyProtection="1">
      <protection locked="0"/>
    </xf>
    <xf numFmtId="176" fontId="100" fillId="0" borderId="11" xfId="0" applyNumberFormat="1" applyFont="1" applyBorder="1" applyProtection="1">
      <protection locked="0"/>
    </xf>
    <xf numFmtId="38" fontId="100" fillId="0" borderId="34" xfId="0" applyNumberFormat="1" applyFont="1" applyBorder="1" applyProtection="1">
      <protection locked="0"/>
    </xf>
    <xf numFmtId="176" fontId="100" fillId="0" borderId="38" xfId="0" applyNumberFormat="1" applyFont="1" applyBorder="1" applyProtection="1">
      <protection locked="0"/>
    </xf>
    <xf numFmtId="164" fontId="100" fillId="42" borderId="6" xfId="0" applyFont="1" applyFill="1" applyBorder="1" applyAlignment="1" applyProtection="1">
      <alignment horizontal="left"/>
      <protection locked="0"/>
    </xf>
    <xf numFmtId="38" fontId="100" fillId="42" borderId="29" xfId="0" applyNumberFormat="1" applyFont="1" applyFill="1" applyBorder="1" applyProtection="1">
      <protection locked="0"/>
    </xf>
    <xf numFmtId="182" fontId="100" fillId="42" borderId="10" xfId="0" applyNumberFormat="1" applyFont="1" applyFill="1" applyBorder="1" applyProtection="1">
      <protection locked="0"/>
    </xf>
    <xf numFmtId="164" fontId="100" fillId="0" borderId="11" xfId="0" applyFont="1" applyBorder="1" applyAlignment="1" applyProtection="1">
      <alignment horizontal="left"/>
      <protection locked="0"/>
    </xf>
    <xf numFmtId="38" fontId="100" fillId="0" borderId="30" xfId="0" applyNumberFormat="1" applyFont="1" applyBorder="1" applyProtection="1">
      <protection locked="0"/>
    </xf>
    <xf numFmtId="182" fontId="100" fillId="0" borderId="5" xfId="0" applyNumberFormat="1" applyFont="1" applyBorder="1" applyProtection="1">
      <protection locked="0"/>
    </xf>
    <xf numFmtId="164" fontId="100" fillId="43" borderId="11" xfId="0" applyFont="1" applyFill="1" applyBorder="1" applyAlignment="1" applyProtection="1">
      <alignment horizontal="left"/>
      <protection locked="0"/>
    </xf>
    <xf numFmtId="38" fontId="100" fillId="43" borderId="30" xfId="0" applyNumberFormat="1" applyFont="1" applyFill="1" applyBorder="1" applyProtection="1">
      <protection locked="0"/>
    </xf>
    <xf numFmtId="182" fontId="100" fillId="43" borderId="5" xfId="0" applyNumberFormat="1" applyFont="1" applyFill="1" applyBorder="1" applyProtection="1">
      <protection locked="0"/>
    </xf>
    <xf numFmtId="164" fontId="100" fillId="42" borderId="8" xfId="0" applyFont="1" applyFill="1" applyBorder="1" applyAlignment="1" applyProtection="1">
      <alignment horizontal="left"/>
      <protection locked="0"/>
    </xf>
    <xf numFmtId="38" fontId="100" fillId="42" borderId="31" xfId="0" applyNumberFormat="1" applyFont="1" applyFill="1" applyBorder="1" applyProtection="1">
      <protection locked="0"/>
    </xf>
    <xf numFmtId="182" fontId="100" fillId="42" borderId="12" xfId="0" applyNumberFormat="1" applyFont="1" applyFill="1" applyBorder="1" applyProtection="1">
      <protection locked="0"/>
    </xf>
    <xf numFmtId="176" fontId="100" fillId="42" borderId="10" xfId="0" applyNumberFormat="1" applyFont="1" applyFill="1" applyBorder="1" applyProtection="1">
      <protection locked="0"/>
    </xf>
    <xf numFmtId="176" fontId="100" fillId="0" borderId="5" xfId="0" applyNumberFormat="1" applyFont="1" applyBorder="1" applyProtection="1">
      <protection locked="0"/>
    </xf>
    <xf numFmtId="176" fontId="100" fillId="43" borderId="5" xfId="0" applyNumberFormat="1" applyFont="1" applyFill="1" applyBorder="1" applyProtection="1">
      <protection locked="0"/>
    </xf>
    <xf numFmtId="176" fontId="100" fillId="42" borderId="12" xfId="0" applyNumberFormat="1" applyFont="1" applyFill="1" applyBorder="1" applyProtection="1">
      <protection locked="0"/>
    </xf>
    <xf numFmtId="38" fontId="100" fillId="0" borderId="6" xfId="0" applyNumberFormat="1" applyFont="1" applyBorder="1" applyProtection="1">
      <protection locked="0"/>
    </xf>
    <xf numFmtId="38" fontId="100" fillId="0" borderId="8" xfId="0" applyNumberFormat="1" applyFont="1" applyBorder="1" applyProtection="1">
      <protection locked="0"/>
    </xf>
    <xf numFmtId="169" fontId="100" fillId="0" borderId="4" xfId="0" applyNumberFormat="1" applyFont="1" applyBorder="1" applyProtection="1">
      <protection locked="0"/>
    </xf>
    <xf numFmtId="164" fontId="100" fillId="0" borderId="5" xfId="0" applyFont="1" applyBorder="1" applyAlignment="1" applyProtection="1">
      <alignment horizontal="right"/>
      <protection locked="0"/>
    </xf>
    <xf numFmtId="164" fontId="100" fillId="0" borderId="4" xfId="0" applyFont="1" applyBorder="1" applyAlignment="1" applyProtection="1">
      <alignment horizontal="right"/>
      <protection locked="0"/>
    </xf>
    <xf numFmtId="171" fontId="100" fillId="0" borderId="51" xfId="0" applyNumberFormat="1" applyFont="1" applyBorder="1" applyAlignment="1" applyProtection="1">
      <alignment horizontal="right"/>
      <protection locked="0"/>
    </xf>
    <xf numFmtId="171" fontId="100" fillId="0" borderId="35" xfId="0" applyNumberFormat="1" applyFont="1" applyBorder="1" applyProtection="1">
      <protection locked="0"/>
    </xf>
    <xf numFmtId="164" fontId="4" fillId="0" borderId="0" xfId="0" applyFont="1" applyAlignment="1">
      <alignment horizontal="center"/>
    </xf>
    <xf numFmtId="38" fontId="102" fillId="0" borderId="0" xfId="0" applyNumberFormat="1" applyFont="1"/>
    <xf numFmtId="164" fontId="101" fillId="43" borderId="0" xfId="0" applyFont="1" applyFill="1" applyAlignment="1">
      <alignment horizontal="left"/>
    </xf>
    <xf numFmtId="170" fontId="100" fillId="43" borderId="0" xfId="0" applyNumberFormat="1" applyFont="1" applyFill="1"/>
    <xf numFmtId="164" fontId="100" fillId="43" borderId="0" xfId="0" applyFont="1" applyFill="1"/>
    <xf numFmtId="179" fontId="100" fillId="43" borderId="0" xfId="0" applyNumberFormat="1" applyFont="1" applyFill="1"/>
    <xf numFmtId="179" fontId="100" fillId="43" borderId="0" xfId="274" applyNumberFormat="1" applyFont="1" applyFill="1" applyProtection="1"/>
    <xf numFmtId="164" fontId="101" fillId="43" borderId="0" xfId="0" applyFont="1" applyFill="1" applyAlignment="1">
      <alignment horizontal="right"/>
    </xf>
    <xf numFmtId="49" fontId="7" fillId="43" borderId="63" xfId="0" applyNumberFormat="1" applyFont="1" applyFill="1" applyBorder="1" applyAlignment="1">
      <alignment horizontal="center" vertical="center"/>
    </xf>
    <xf numFmtId="49" fontId="7" fillId="43" borderId="64" xfId="0" applyNumberFormat="1" applyFont="1" applyFill="1" applyBorder="1" applyAlignment="1">
      <alignment horizontal="center" vertical="center"/>
    </xf>
    <xf numFmtId="49" fontId="2" fillId="43" borderId="14" xfId="0" applyNumberFormat="1" applyFont="1" applyFill="1" applyBorder="1" applyAlignment="1">
      <alignment vertical="top"/>
    </xf>
    <xf numFmtId="3" fontId="4" fillId="43" borderId="14" xfId="0" applyNumberFormat="1" applyFont="1" applyFill="1" applyBorder="1" applyAlignment="1">
      <alignment vertical="top"/>
    </xf>
    <xf numFmtId="1" fontId="4" fillId="43" borderId="14" xfId="0" applyNumberFormat="1" applyFont="1" applyFill="1" applyBorder="1" applyAlignment="1">
      <alignment vertical="top"/>
    </xf>
    <xf numFmtId="6" fontId="4" fillId="43" borderId="27" xfId="0" applyNumberFormat="1" applyFont="1" applyFill="1" applyBorder="1" applyAlignment="1">
      <alignment vertical="top"/>
    </xf>
    <xf numFmtId="6" fontId="4" fillId="46" borderId="27" xfId="0" applyNumberFormat="1" applyFont="1" applyFill="1" applyBorder="1" applyAlignment="1">
      <alignment horizontal="right" vertical="top"/>
    </xf>
    <xf numFmtId="49" fontId="4" fillId="43" borderId="14" xfId="0" applyNumberFormat="1" applyFont="1" applyFill="1" applyBorder="1" applyAlignment="1">
      <alignment vertical="top"/>
    </xf>
    <xf numFmtId="49" fontId="2" fillId="43" borderId="65" xfId="0" applyNumberFormat="1" applyFont="1" applyFill="1" applyBorder="1" applyAlignment="1">
      <alignment vertical="top"/>
    </xf>
    <xf numFmtId="49" fontId="2" fillId="43" borderId="65" xfId="0" applyNumberFormat="1" applyFont="1" applyFill="1" applyBorder="1" applyAlignment="1">
      <alignment horizontal="center" vertical="top"/>
    </xf>
    <xf numFmtId="1" fontId="4" fillId="43" borderId="65" xfId="0" applyNumberFormat="1" applyFont="1" applyFill="1" applyBorder="1" applyAlignment="1">
      <alignment vertical="top"/>
    </xf>
    <xf numFmtId="49" fontId="4" fillId="43" borderId="65" xfId="0" applyNumberFormat="1" applyFont="1" applyFill="1" applyBorder="1" applyAlignment="1">
      <alignment vertical="top"/>
    </xf>
    <xf numFmtId="164" fontId="100" fillId="0" borderId="40" xfId="0" applyFont="1" applyBorder="1" applyAlignment="1" applyProtection="1">
      <alignment horizontal="left" shrinkToFit="1"/>
      <protection locked="0"/>
    </xf>
    <xf numFmtId="40" fontId="100" fillId="0" borderId="11" xfId="0" applyNumberFormat="1" applyFont="1" applyBorder="1" applyAlignment="1" applyProtection="1">
      <alignment horizontal="right"/>
      <protection locked="0"/>
    </xf>
    <xf numFmtId="164" fontId="100" fillId="0" borderId="11" xfId="0" applyFont="1" applyBorder="1" applyAlignment="1" applyProtection="1">
      <alignment horizontal="center"/>
      <protection locked="0"/>
    </xf>
    <xf numFmtId="44" fontId="100" fillId="0" borderId="11" xfId="0" applyNumberFormat="1" applyFont="1" applyBorder="1" applyAlignment="1" applyProtection="1">
      <alignment horizontal="right"/>
      <protection locked="0"/>
    </xf>
    <xf numFmtId="164" fontId="100" fillId="0" borderId="11" xfId="0" applyFont="1" applyBorder="1" applyAlignment="1" applyProtection="1">
      <alignment horizontal="left" shrinkToFit="1"/>
      <protection locked="0"/>
    </xf>
    <xf numFmtId="164" fontId="100" fillId="0" borderId="11" xfId="0" quotePrefix="1" applyFont="1" applyBorder="1" applyAlignment="1" applyProtection="1">
      <alignment horizontal="left" shrinkToFit="1"/>
      <protection locked="0"/>
    </xf>
    <xf numFmtId="164" fontId="100" fillId="0" borderId="38" xfId="0" quotePrefix="1" applyFont="1" applyBorder="1" applyAlignment="1" applyProtection="1">
      <alignment horizontal="left" shrinkToFit="1"/>
      <protection locked="0"/>
    </xf>
    <xf numFmtId="40" fontId="100" fillId="0" borderId="38" xfId="0" applyNumberFormat="1" applyFont="1" applyBorder="1" applyAlignment="1" applyProtection="1">
      <alignment horizontal="right"/>
      <protection locked="0"/>
    </xf>
    <xf numFmtId="164" fontId="100" fillId="0" borderId="38" xfId="0" applyFont="1" applyBorder="1" applyAlignment="1" applyProtection="1">
      <alignment horizontal="center"/>
      <protection locked="0"/>
    </xf>
    <xf numFmtId="44" fontId="100" fillId="0" borderId="38" xfId="0" applyNumberFormat="1" applyFont="1" applyBorder="1" applyAlignment="1" applyProtection="1">
      <alignment horizontal="right"/>
      <protection locked="0"/>
    </xf>
    <xf numFmtId="40" fontId="100" fillId="0" borderId="40" xfId="0" applyNumberFormat="1" applyFont="1" applyBorder="1" applyAlignment="1" applyProtection="1">
      <alignment horizontal="right"/>
      <protection locked="0"/>
    </xf>
    <xf numFmtId="164" fontId="100" fillId="0" borderId="40" xfId="0" applyFont="1" applyBorder="1" applyAlignment="1" applyProtection="1">
      <alignment horizontal="center"/>
      <protection locked="0"/>
    </xf>
    <xf numFmtId="44" fontId="100" fillId="0" borderId="40" xfId="0" applyNumberFormat="1" applyFont="1" applyBorder="1" applyAlignment="1" applyProtection="1">
      <alignment horizontal="right"/>
      <protection locked="0"/>
    </xf>
    <xf numFmtId="164" fontId="100" fillId="0" borderId="0" xfId="0" applyFont="1" applyAlignment="1" applyProtection="1">
      <alignment horizontal="left" vertical="center" indent="1"/>
      <protection locked="0"/>
    </xf>
    <xf numFmtId="164" fontId="100" fillId="43" borderId="11" xfId="0" applyFont="1" applyFill="1" applyBorder="1" applyAlignment="1" applyProtection="1">
      <alignment horizontal="left" shrinkToFit="1"/>
      <protection locked="0"/>
    </xf>
    <xf numFmtId="164" fontId="100" fillId="43" borderId="16" xfId="0" applyFont="1" applyFill="1" applyBorder="1" applyAlignment="1" applyProtection="1">
      <alignment horizontal="left" vertical="center" indent="1"/>
      <protection locked="0"/>
    </xf>
    <xf numFmtId="164" fontId="100" fillId="43" borderId="0" xfId="0" applyFont="1" applyFill="1" applyAlignment="1" applyProtection="1">
      <alignment horizontal="left" vertical="center" indent="1"/>
      <protection locked="0"/>
    </xf>
    <xf numFmtId="164" fontId="100" fillId="43" borderId="17" xfId="0" applyFont="1" applyFill="1" applyBorder="1" applyAlignment="1" applyProtection="1">
      <alignment horizontal="left" vertical="center" indent="1"/>
      <protection locked="0"/>
    </xf>
    <xf numFmtId="40" fontId="100" fillId="43" borderId="11" xfId="0" applyNumberFormat="1" applyFont="1" applyFill="1" applyBorder="1" applyAlignment="1" applyProtection="1">
      <alignment horizontal="right"/>
      <protection locked="0"/>
    </xf>
    <xf numFmtId="164" fontId="100" fillId="43" borderId="11" xfId="0" applyFont="1" applyFill="1" applyBorder="1" applyAlignment="1" applyProtection="1">
      <alignment horizontal="center"/>
      <protection locked="0"/>
    </xf>
    <xf numFmtId="44" fontId="100" fillId="43" borderId="11" xfId="0" applyNumberFormat="1" applyFont="1" applyFill="1" applyBorder="1" applyAlignment="1" applyProtection="1">
      <alignment horizontal="right"/>
      <protection locked="0"/>
    </xf>
    <xf numFmtId="164" fontId="100" fillId="0" borderId="16" xfId="0" applyFont="1" applyBorder="1" applyAlignment="1" applyProtection="1">
      <alignment horizontal="left" vertical="center" indent="1"/>
      <protection locked="0"/>
    </xf>
    <xf numFmtId="164" fontId="100" fillId="0" borderId="17" xfId="0" applyFont="1" applyBorder="1" applyAlignment="1" applyProtection="1">
      <alignment horizontal="left" vertical="center" indent="1"/>
      <protection locked="0"/>
    </xf>
    <xf numFmtId="164" fontId="100" fillId="43" borderId="11" xfId="0" quotePrefix="1" applyFont="1" applyFill="1" applyBorder="1" applyAlignment="1" applyProtection="1">
      <alignment horizontal="left" shrinkToFit="1"/>
      <protection locked="0"/>
    </xf>
    <xf numFmtId="164" fontId="100" fillId="0" borderId="45" xfId="0" applyFont="1" applyBorder="1" applyAlignment="1" applyProtection="1">
      <alignment horizontal="left" vertical="center" indent="1"/>
      <protection locked="0"/>
    </xf>
    <xf numFmtId="164" fontId="100" fillId="0" borderId="36" xfId="0" applyFont="1" applyBorder="1" applyAlignment="1" applyProtection="1">
      <alignment horizontal="left" vertical="center" indent="1"/>
      <protection locked="0"/>
    </xf>
    <xf numFmtId="164" fontId="100" fillId="0" borderId="46" xfId="0" applyFont="1" applyBorder="1" applyAlignment="1" applyProtection="1">
      <alignment horizontal="left" vertical="center" indent="1"/>
      <protection locked="0"/>
    </xf>
    <xf numFmtId="164" fontId="100" fillId="43" borderId="40" xfId="0" applyFont="1" applyFill="1" applyBorder="1" applyAlignment="1" applyProtection="1">
      <alignment horizontal="left" shrinkToFit="1"/>
      <protection locked="0"/>
    </xf>
    <xf numFmtId="40" fontId="100" fillId="43" borderId="40" xfId="0" applyNumberFormat="1" applyFont="1" applyFill="1" applyBorder="1" applyAlignment="1" applyProtection="1">
      <alignment horizontal="right"/>
      <protection locked="0"/>
    </xf>
    <xf numFmtId="164" fontId="100" fillId="43" borderId="40" xfId="0" applyFont="1" applyFill="1" applyBorder="1" applyAlignment="1" applyProtection="1">
      <alignment horizontal="center"/>
      <protection locked="0"/>
    </xf>
    <xf numFmtId="44" fontId="100" fillId="43" borderId="40" xfId="0" applyNumberFormat="1" applyFont="1" applyFill="1" applyBorder="1" applyAlignment="1" applyProtection="1">
      <alignment horizontal="right"/>
      <protection locked="0"/>
    </xf>
    <xf numFmtId="164" fontId="100" fillId="43" borderId="38" xfId="0" quotePrefix="1" applyFont="1" applyFill="1" applyBorder="1" applyAlignment="1" applyProtection="1">
      <alignment horizontal="left" shrinkToFit="1"/>
      <protection locked="0"/>
    </xf>
    <xf numFmtId="40" fontId="100" fillId="43" borderId="38" xfId="0" applyNumberFormat="1" applyFont="1" applyFill="1" applyBorder="1" applyAlignment="1" applyProtection="1">
      <alignment horizontal="right"/>
      <protection locked="0"/>
    </xf>
    <xf numFmtId="164" fontId="100" fillId="43" borderId="38" xfId="0" applyFont="1" applyFill="1" applyBorder="1" applyAlignment="1" applyProtection="1">
      <alignment horizontal="center"/>
      <protection locked="0"/>
    </xf>
    <xf numFmtId="44" fontId="100" fillId="43" borderId="38" xfId="0" applyNumberFormat="1" applyFont="1" applyFill="1" applyBorder="1" applyAlignment="1" applyProtection="1">
      <alignment horizontal="right"/>
      <protection locked="0"/>
    </xf>
    <xf numFmtId="179" fontId="100" fillId="0" borderId="70" xfId="0" applyNumberFormat="1" applyFont="1" applyBorder="1" applyProtection="1">
      <protection locked="0"/>
    </xf>
    <xf numFmtId="164" fontId="7" fillId="47" borderId="0" xfId="0" quotePrefix="1" applyFont="1" applyFill="1" applyAlignment="1">
      <alignment horizontal="left" indent="2"/>
    </xf>
    <xf numFmtId="164" fontId="6" fillId="47" borderId="0" xfId="0" applyFont="1" applyFill="1"/>
    <xf numFmtId="179" fontId="37" fillId="47" borderId="0" xfId="0" applyNumberFormat="1" applyFont="1" applyFill="1"/>
    <xf numFmtId="42" fontId="6" fillId="47" borderId="0" xfId="0" applyNumberFormat="1" applyFont="1" applyFill="1"/>
    <xf numFmtId="164" fontId="7" fillId="47" borderId="0" xfId="0" quotePrefix="1" applyFont="1" applyFill="1" applyAlignment="1">
      <alignment horizontal="left" indent="1"/>
    </xf>
    <xf numFmtId="164" fontId="40" fillId="0" borderId="0" xfId="0" applyFont="1" applyAlignment="1">
      <alignment horizontal="justify" vertical="top" wrapText="1"/>
    </xf>
    <xf numFmtId="164" fontId="55" fillId="41" borderId="0" xfId="0" applyFont="1" applyFill="1" applyAlignment="1">
      <alignment horizontal="center"/>
    </xf>
    <xf numFmtId="164" fontId="56" fillId="41" borderId="0" xfId="0" applyFont="1" applyFill="1" applyAlignment="1">
      <alignment horizontal="center"/>
    </xf>
    <xf numFmtId="164" fontId="44" fillId="44" borderId="33" xfId="0" applyFont="1" applyFill="1" applyBorder="1" applyAlignment="1">
      <alignment horizontal="center"/>
    </xf>
    <xf numFmtId="164" fontId="44" fillId="44" borderId="0" xfId="0" applyFont="1" applyFill="1" applyAlignment="1">
      <alignment horizontal="center"/>
    </xf>
    <xf numFmtId="164" fontId="7" fillId="0" borderId="0" xfId="0" applyFont="1" applyAlignment="1">
      <alignment horizontal="left"/>
    </xf>
    <xf numFmtId="164" fontId="56" fillId="44" borderId="0" xfId="0" applyFont="1" applyFill="1" applyAlignment="1">
      <alignment horizontal="center" vertical="center"/>
    </xf>
    <xf numFmtId="164" fontId="6" fillId="0" borderId="0" xfId="0" applyFont="1" applyAlignment="1">
      <alignment horizontal="center"/>
    </xf>
    <xf numFmtId="164" fontId="100" fillId="0" borderId="0" xfId="0" quotePrefix="1" applyFont="1" applyAlignment="1" applyProtection="1">
      <alignment horizontal="left" indent="3"/>
      <protection locked="0"/>
    </xf>
    <xf numFmtId="164" fontId="100" fillId="0" borderId="0" xfId="0" applyFont="1" applyAlignment="1" applyProtection="1">
      <alignment horizontal="left" shrinkToFit="1"/>
      <protection locked="0"/>
    </xf>
    <xf numFmtId="164" fontId="100" fillId="43" borderId="36" xfId="0" applyFont="1" applyFill="1" applyBorder="1" applyAlignment="1" applyProtection="1">
      <alignment horizontal="left" shrinkToFit="1"/>
      <protection locked="0"/>
    </xf>
    <xf numFmtId="164" fontId="6" fillId="0" borderId="44" xfId="0" applyFont="1" applyBorder="1" applyAlignment="1">
      <alignment horizontal="right"/>
    </xf>
    <xf numFmtId="164" fontId="6" fillId="0" borderId="47" xfId="0" applyFont="1" applyBorder="1" applyAlignment="1">
      <alignment horizontal="right"/>
    </xf>
    <xf numFmtId="164" fontId="100" fillId="0" borderId="16" xfId="0" applyFont="1" applyBorder="1" applyAlignment="1" applyProtection="1">
      <alignment horizontal="left" shrinkToFit="1"/>
      <protection locked="0"/>
    </xf>
    <xf numFmtId="164" fontId="100" fillId="0" borderId="17" xfId="0" applyFont="1" applyBorder="1" applyAlignment="1" applyProtection="1">
      <alignment horizontal="left" shrinkToFit="1"/>
      <protection locked="0"/>
    </xf>
    <xf numFmtId="164" fontId="37" fillId="0" borderId="36" xfId="0" applyFont="1" applyBorder="1" applyAlignment="1">
      <alignment horizontal="left" indent="1" shrinkToFit="1"/>
    </xf>
    <xf numFmtId="164" fontId="7" fillId="43" borderId="41" xfId="0" applyFont="1" applyFill="1" applyBorder="1" applyAlignment="1">
      <alignment horizontal="center" shrinkToFit="1"/>
    </xf>
    <xf numFmtId="164" fontId="7" fillId="43" borderId="48" xfId="0" applyFont="1" applyFill="1" applyBorder="1" applyAlignment="1">
      <alignment horizontal="center" shrinkToFit="1"/>
    </xf>
    <xf numFmtId="164" fontId="7" fillId="43" borderId="49" xfId="0" applyFont="1" applyFill="1" applyBorder="1" applyAlignment="1">
      <alignment horizontal="center" shrinkToFit="1"/>
    </xf>
    <xf numFmtId="164" fontId="100" fillId="43" borderId="16" xfId="0" applyFont="1" applyFill="1" applyBorder="1" applyAlignment="1" applyProtection="1">
      <alignment horizontal="left" shrinkToFit="1"/>
      <protection locked="0"/>
    </xf>
    <xf numFmtId="164" fontId="100" fillId="43" borderId="0" xfId="0" applyFont="1" applyFill="1" applyAlignment="1" applyProtection="1">
      <alignment horizontal="left" shrinkToFit="1"/>
      <protection locked="0"/>
    </xf>
    <xf numFmtId="164" fontId="100" fillId="43" borderId="17" xfId="0" applyFont="1" applyFill="1" applyBorder="1" applyAlignment="1" applyProtection="1">
      <alignment horizontal="left" shrinkToFit="1"/>
      <protection locked="0"/>
    </xf>
    <xf numFmtId="44" fontId="6" fillId="0" borderId="44" xfId="0" applyNumberFormat="1" applyFont="1" applyBorder="1" applyAlignment="1">
      <alignment horizontal="right"/>
    </xf>
    <xf numFmtId="164" fontId="100" fillId="0" borderId="0" xfId="0" applyFont="1" applyAlignment="1" applyProtection="1">
      <alignment horizontal="left"/>
      <protection locked="0"/>
    </xf>
    <xf numFmtId="164" fontId="100" fillId="0" borderId="30" xfId="0" applyFont="1" applyBorder="1" applyAlignment="1" applyProtection="1">
      <alignment horizontal="left"/>
      <protection locked="0"/>
    </xf>
    <xf numFmtId="164" fontId="100" fillId="0" borderId="0" xfId="0" applyFont="1" applyAlignment="1">
      <alignment horizontal="center"/>
    </xf>
    <xf numFmtId="164" fontId="101" fillId="0" borderId="0" xfId="0" applyFont="1" applyAlignment="1" applyProtection="1">
      <alignment horizontal="left"/>
      <protection locked="0"/>
    </xf>
    <xf numFmtId="164" fontId="9" fillId="0" borderId="0" xfId="0" applyFont="1" applyAlignment="1">
      <alignment horizontal="left"/>
    </xf>
    <xf numFmtId="164" fontId="35" fillId="0" borderId="0" xfId="0" applyFont="1" applyAlignment="1">
      <alignment horizontal="left" shrinkToFit="1"/>
    </xf>
    <xf numFmtId="164" fontId="55" fillId="23" borderId="0" xfId="0" applyFont="1" applyFill="1" applyAlignment="1">
      <alignment horizontal="center"/>
    </xf>
    <xf numFmtId="164" fontId="56" fillId="23" borderId="0" xfId="0" applyFont="1" applyFill="1" applyAlignment="1">
      <alignment horizontal="center"/>
    </xf>
    <xf numFmtId="164" fontId="6" fillId="0" borderId="0" xfId="0" applyFont="1" applyAlignment="1">
      <alignment horizontal="left"/>
    </xf>
    <xf numFmtId="164" fontId="6" fillId="0" borderId="0" xfId="0" quotePrefix="1" applyFont="1" applyAlignment="1">
      <alignment horizontal="left" indent="3"/>
    </xf>
    <xf numFmtId="164" fontId="6" fillId="0" borderId="16" xfId="0" applyFont="1" applyBorder="1" applyAlignment="1">
      <alignment horizontal="left" shrinkToFit="1"/>
    </xf>
    <xf numFmtId="164" fontId="6" fillId="0" borderId="0" xfId="0" applyFont="1" applyAlignment="1">
      <alignment horizontal="left" shrinkToFit="1"/>
    </xf>
    <xf numFmtId="164" fontId="6" fillId="0" borderId="17" xfId="0" applyFont="1" applyBorder="1" applyAlignment="1">
      <alignment horizontal="left" shrinkToFit="1"/>
    </xf>
    <xf numFmtId="164" fontId="6" fillId="18" borderId="16" xfId="0" applyFont="1" applyFill="1" applyBorder="1" applyAlignment="1">
      <alignment horizontal="left" shrinkToFit="1"/>
    </xf>
    <xf numFmtId="164" fontId="6" fillId="18" borderId="0" xfId="0" applyFont="1" applyFill="1" applyAlignment="1">
      <alignment horizontal="left" shrinkToFit="1"/>
    </xf>
    <xf numFmtId="164" fontId="6" fillId="18" borderId="17" xfId="0" applyFont="1" applyFill="1" applyBorder="1" applyAlignment="1">
      <alignment horizontal="left" shrinkToFit="1"/>
    </xf>
    <xf numFmtId="164" fontId="6" fillId="18" borderId="36" xfId="0" applyFont="1" applyFill="1" applyBorder="1" applyAlignment="1">
      <alignment horizontal="left" shrinkToFit="1"/>
    </xf>
    <xf numFmtId="164" fontId="6" fillId="0" borderId="45" xfId="0" applyFont="1" applyBorder="1" applyAlignment="1">
      <alignment horizontal="left" shrinkToFit="1"/>
    </xf>
    <xf numFmtId="164" fontId="6" fillId="0" borderId="36" xfId="0" applyFont="1" applyBorder="1" applyAlignment="1">
      <alignment horizontal="left" shrinkToFit="1"/>
    </xf>
    <xf numFmtId="164" fontId="6" fillId="0" borderId="46" xfId="0" applyFont="1" applyBorder="1" applyAlignment="1">
      <alignment horizontal="left" shrinkToFit="1"/>
    </xf>
    <xf numFmtId="164" fontId="6" fillId="0" borderId="36" xfId="0" applyFont="1" applyBorder="1" applyAlignment="1">
      <alignment horizontal="left" indent="1" shrinkToFit="1"/>
    </xf>
    <xf numFmtId="164" fontId="7" fillId="18" borderId="41" xfId="0" applyFont="1" applyFill="1" applyBorder="1" applyAlignment="1">
      <alignment horizontal="center" shrinkToFit="1"/>
    </xf>
    <xf numFmtId="164" fontId="7" fillId="18" borderId="48" xfId="0" applyFont="1" applyFill="1" applyBorder="1" applyAlignment="1">
      <alignment horizontal="center" shrinkToFit="1"/>
    </xf>
    <xf numFmtId="164" fontId="7" fillId="18" borderId="49" xfId="0" applyFont="1" applyFill="1" applyBorder="1" applyAlignment="1">
      <alignment horizontal="center" shrinkToFit="1"/>
    </xf>
    <xf numFmtId="164" fontId="6" fillId="0" borderId="30" xfId="0" applyFont="1" applyBorder="1" applyAlignment="1">
      <alignment horizontal="left"/>
    </xf>
    <xf numFmtId="0" fontId="79" fillId="0" borderId="0" xfId="346" applyFont="1" applyAlignment="1">
      <alignment horizontal="center"/>
    </xf>
    <xf numFmtId="0" fontId="92" fillId="0" borderId="0" xfId="346" applyFont="1" applyAlignment="1">
      <alignment horizontal="center"/>
    </xf>
    <xf numFmtId="164" fontId="78" fillId="0" borderId="0" xfId="0" applyFont="1" applyAlignment="1">
      <alignment horizontal="center"/>
    </xf>
    <xf numFmtId="0" fontId="83" fillId="0" borderId="0" xfId="346" applyFont="1" applyAlignment="1">
      <alignment horizontal="center"/>
    </xf>
    <xf numFmtId="0" fontId="89" fillId="0" borderId="0" xfId="346" applyFont="1" applyAlignment="1">
      <alignment horizontal="center"/>
    </xf>
    <xf numFmtId="0" fontId="10" fillId="21" borderId="0" xfId="0" applyNumberFormat="1" applyFont="1" applyFill="1" applyAlignment="1">
      <alignment horizontal="center"/>
    </xf>
    <xf numFmtId="164" fontId="12" fillId="0" borderId="0" xfId="0" applyFont="1" applyAlignment="1">
      <alignment horizontal="justify" vertical="top" wrapText="1"/>
    </xf>
    <xf numFmtId="0" fontId="11" fillId="45" borderId="41" xfId="0" applyNumberFormat="1" applyFont="1" applyFill="1" applyBorder="1" applyAlignment="1">
      <alignment horizontal="center" vertical="center"/>
    </xf>
    <xf numFmtId="0" fontId="11" fillId="45" borderId="48" xfId="0" applyNumberFormat="1" applyFont="1" applyFill="1" applyBorder="1" applyAlignment="1">
      <alignment horizontal="center" vertical="center"/>
    </xf>
    <xf numFmtId="0" fontId="11" fillId="45" borderId="60" xfId="0" applyNumberFormat="1" applyFont="1" applyFill="1" applyBorder="1" applyAlignment="1">
      <alignment horizontal="center" vertical="center"/>
    </xf>
    <xf numFmtId="0" fontId="11" fillId="45" borderId="49" xfId="0" applyNumberFormat="1" applyFont="1" applyFill="1" applyBorder="1" applyAlignment="1">
      <alignment horizontal="center" vertical="center"/>
    </xf>
    <xf numFmtId="49" fontId="4" fillId="0" borderId="28" xfId="0" applyNumberFormat="1" applyFont="1" applyBorder="1" applyAlignment="1">
      <alignment horizontal="left" vertical="top" wrapText="1"/>
    </xf>
    <xf numFmtId="49" fontId="4" fillId="0" borderId="27" xfId="0" applyNumberFormat="1" applyFont="1" applyBorder="1" applyAlignment="1">
      <alignment horizontal="left" vertical="top" wrapText="1"/>
    </xf>
    <xf numFmtId="49" fontId="2" fillId="43" borderId="61" xfId="0" applyNumberFormat="1" applyFont="1" applyFill="1" applyBorder="1" applyAlignment="1">
      <alignment horizontal="center" vertical="center"/>
    </xf>
    <xf numFmtId="49" fontId="2" fillId="43" borderId="62" xfId="0" applyNumberFormat="1" applyFont="1" applyFill="1" applyBorder="1" applyAlignment="1">
      <alignment horizontal="center" vertical="center"/>
    </xf>
    <xf numFmtId="1" fontId="2" fillId="43" borderId="68" xfId="0" applyNumberFormat="1" applyFont="1" applyFill="1" applyBorder="1" applyAlignment="1">
      <alignment horizontal="center" vertical="top"/>
    </xf>
    <xf numFmtId="1" fontId="2" fillId="43" borderId="69" xfId="0" applyNumberFormat="1" applyFont="1" applyFill="1" applyBorder="1" applyAlignment="1">
      <alignment horizontal="center" vertical="top"/>
    </xf>
    <xf numFmtId="49" fontId="2" fillId="43" borderId="6" xfId="0" applyNumberFormat="1" applyFont="1" applyFill="1" applyBorder="1" applyAlignment="1">
      <alignment horizontal="center" vertical="center"/>
    </xf>
    <xf numFmtId="49" fontId="2" fillId="43" borderId="38" xfId="0" applyNumberFormat="1" applyFont="1" applyFill="1" applyBorder="1" applyAlignment="1">
      <alignment horizontal="center" vertical="center"/>
    </xf>
    <xf numFmtId="49" fontId="2" fillId="43" borderId="6" xfId="0" applyNumberFormat="1" applyFont="1" applyFill="1" applyBorder="1" applyAlignment="1">
      <alignment horizontal="center" vertical="center" wrapText="1"/>
    </xf>
    <xf numFmtId="49" fontId="2" fillId="43" borderId="38" xfId="0" applyNumberFormat="1" applyFont="1" applyFill="1" applyBorder="1" applyAlignment="1">
      <alignment horizontal="center" vertical="center" wrapText="1"/>
    </xf>
    <xf numFmtId="164" fontId="100" fillId="0" borderId="0" xfId="0" quotePrefix="1" applyFont="1" applyAlignment="1" applyProtection="1">
      <alignment horizontal="left" indent="2"/>
      <protection locked="0"/>
    </xf>
    <xf numFmtId="164" fontId="100" fillId="0" borderId="45" xfId="0" applyFont="1" applyBorder="1" applyAlignment="1" applyProtection="1">
      <alignment horizontal="left" shrinkToFit="1"/>
      <protection locked="0"/>
    </xf>
    <xf numFmtId="164" fontId="100" fillId="0" borderId="36" xfId="0" applyFont="1" applyBorder="1" applyAlignment="1" applyProtection="1">
      <alignment horizontal="left" shrinkToFit="1"/>
      <protection locked="0"/>
    </xf>
    <xf numFmtId="164" fontId="100" fillId="0" borderId="46" xfId="0" applyFont="1" applyBorder="1" applyAlignment="1" applyProtection="1">
      <alignment horizontal="left" shrinkToFit="1"/>
      <protection locked="0"/>
    </xf>
    <xf numFmtId="164" fontId="100" fillId="0" borderId="0" xfId="0" applyFont="1" applyAlignment="1" applyProtection="1">
      <alignment horizontal="center"/>
      <protection locked="0"/>
    </xf>
  </cellXfs>
  <cellStyles count="348">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2" xfId="344" xr:uid="{A90C1C31-9920-6D41-9544-EAB314FD5FAC}"/>
    <cellStyle name="Explanatory Text" xfId="28" xr:uid="{00000000-0005-0000-0000-00001B000000}"/>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Good" xfId="29" xr:uid="{00000000-0005-0000-0000-0000B2000000}"/>
    <cellStyle name="Heading 1" xfId="30" xr:uid="{00000000-0005-0000-0000-0000B3000000}"/>
    <cellStyle name="Heading 2" xfId="31" xr:uid="{00000000-0005-0000-0000-0000B4000000}"/>
    <cellStyle name="Heading 3" xfId="32" xr:uid="{00000000-0005-0000-0000-0000B5000000}"/>
    <cellStyle name="Heading 4" xfId="33" xr:uid="{00000000-0005-0000-0000-0000B6000000}"/>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Input" xfId="34" xr:uid="{00000000-0005-0000-0000-00004D010000}"/>
    <cellStyle name="Linked Cell" xfId="35" xr:uid="{00000000-0005-0000-0000-00004E010000}"/>
    <cellStyle name="Neutral" xfId="36" xr:uid="{00000000-0005-0000-0000-00004F010000}"/>
    <cellStyle name="Normal" xfId="0" builtinId="0"/>
    <cellStyle name="Normal 2" xfId="343" xr:uid="{5DF1E0E0-E66C-A34B-849D-BD0AE5250349}"/>
    <cellStyle name="Normal 3" xfId="346" xr:uid="{B7B1BAA6-6E06-B14D-9A1E-E3AEFAAEBEC4}"/>
    <cellStyle name="Note" xfId="37" xr:uid="{00000000-0005-0000-0000-000051010000}"/>
    <cellStyle name="Output" xfId="38" xr:uid="{00000000-0005-0000-0000-000052010000}"/>
    <cellStyle name="Percent" xfId="274" builtinId="5"/>
    <cellStyle name="Percent 2" xfId="345" xr:uid="{C23B0190-0971-D24C-9BC6-3E40C01838EE}"/>
    <cellStyle name="Percent 3" xfId="347" xr:uid="{B3E162B5-772C-8B44-B649-0F0306FF7A27}"/>
    <cellStyle name="Title" xfId="39" xr:uid="{00000000-0005-0000-0000-000054010000}"/>
    <cellStyle name="Total" xfId="40" xr:uid="{00000000-0005-0000-0000-000055010000}"/>
    <cellStyle name="Warning Text" xfId="41" xr:uid="{00000000-0005-0000-0000-000056010000}"/>
  </cellStyles>
  <dxfs count="218">
    <dxf>
      <font>
        <color rgb="FF9C0006"/>
      </font>
      <fill>
        <patternFill>
          <bgColor rgb="FFFFC7CE"/>
        </patternFill>
      </fill>
    </dxf>
    <dxf>
      <font>
        <color theme="0"/>
      </font>
      <fill>
        <patternFill>
          <bgColor rgb="FFFA9600"/>
        </patternFill>
      </fill>
    </dxf>
    <dxf>
      <font>
        <color theme="0"/>
      </font>
      <fill>
        <patternFill>
          <bgColor rgb="FFC83232"/>
        </patternFill>
      </fill>
    </dxf>
    <dxf>
      <font>
        <color auto="1"/>
      </font>
      <fill>
        <patternFill>
          <bgColor rgb="FFFAFA64"/>
        </patternFill>
      </fill>
    </dxf>
    <dxf>
      <font>
        <color theme="0"/>
      </font>
      <fill>
        <patternFill>
          <bgColor rgb="FF649664"/>
        </patternFill>
      </fill>
    </dxf>
    <dxf>
      <font>
        <color theme="0"/>
      </font>
      <fill>
        <patternFill>
          <bgColor rgb="FF326496"/>
        </patternFill>
      </fill>
    </dxf>
    <dxf>
      <font>
        <color theme="0"/>
      </font>
      <fill>
        <patternFill>
          <bgColor rgb="FF9696C8"/>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theme="0"/>
      </font>
      <fill>
        <patternFill>
          <bgColor rgb="FFC83232"/>
        </patternFill>
      </fill>
    </dxf>
    <dxf>
      <font>
        <color auto="1"/>
      </font>
      <fill>
        <patternFill>
          <bgColor rgb="FFFAFA64"/>
        </patternFill>
      </fill>
    </dxf>
    <dxf>
      <font>
        <color theme="0"/>
      </font>
      <fill>
        <patternFill>
          <bgColor rgb="FFFA9600"/>
        </patternFill>
      </fill>
    </dxf>
    <dxf>
      <font>
        <color theme="0"/>
      </font>
      <fill>
        <patternFill>
          <bgColor rgb="FF326496"/>
        </patternFill>
      </fill>
    </dxf>
    <dxf>
      <font>
        <color theme="0"/>
      </font>
      <fill>
        <patternFill>
          <bgColor rgb="FF9696C8"/>
        </patternFill>
      </fill>
    </dxf>
    <dxf>
      <font>
        <color theme="0"/>
      </font>
      <fill>
        <patternFill>
          <bgColor rgb="FF649664"/>
        </patternFill>
      </fill>
    </dxf>
    <dxf>
      <font>
        <b/>
        <i val="0"/>
        <strike val="0"/>
        <color theme="5"/>
      </font>
    </dxf>
    <dxf>
      <font>
        <b/>
        <i val="0"/>
        <strike val="0"/>
        <color rgb="FF538134"/>
      </font>
    </dxf>
    <dxf>
      <font>
        <b/>
        <i val="0"/>
        <strike val="0"/>
        <color rgb="FF7F6000"/>
      </font>
    </dxf>
    <dxf>
      <font>
        <b/>
        <i val="0"/>
        <strike val="0"/>
        <color theme="9" tint="-0.24994659260841701"/>
      </font>
    </dxf>
    <dxf>
      <font>
        <b/>
        <i val="0"/>
        <strike val="0"/>
        <color theme="3"/>
      </font>
    </dxf>
    <dxf>
      <font>
        <b/>
        <i val="0"/>
        <strike val="0"/>
        <color theme="7"/>
      </font>
    </dxf>
    <dxf>
      <font>
        <strike val="0"/>
        <color theme="5"/>
      </font>
    </dxf>
    <dxf>
      <font>
        <strike val="0"/>
        <color theme="9" tint="-0.24994659260841701"/>
      </font>
    </dxf>
    <dxf>
      <font>
        <strike val="0"/>
        <color rgb="FF538134"/>
      </font>
    </dxf>
    <dxf>
      <font>
        <strike val="0"/>
        <color theme="3"/>
      </font>
    </dxf>
    <dxf>
      <font>
        <strike val="0"/>
        <color theme="7"/>
      </font>
    </dxf>
    <dxf>
      <font>
        <strike val="0"/>
        <color rgb="FF7F6000"/>
      </font>
    </dxf>
    <dxf>
      <font>
        <b/>
        <i val="0"/>
        <strike val="0"/>
        <color theme="0"/>
      </font>
      <fill>
        <patternFill>
          <bgColor rgb="FFBE9000"/>
        </patternFill>
      </fill>
    </dxf>
    <dxf>
      <font>
        <b/>
        <i val="0"/>
        <strike val="0"/>
        <color theme="0"/>
      </font>
      <fill>
        <patternFill>
          <bgColor theme="9" tint="-0.24994659260841701"/>
        </patternFill>
      </fill>
    </dxf>
    <dxf>
      <font>
        <b/>
        <i val="0"/>
        <strike val="0"/>
        <color theme="0"/>
      </font>
      <fill>
        <patternFill>
          <bgColor theme="3"/>
        </patternFill>
      </fill>
    </dxf>
    <dxf>
      <font>
        <b/>
        <i val="0"/>
        <strike val="0"/>
        <color theme="0"/>
      </font>
      <fill>
        <patternFill>
          <bgColor theme="7"/>
        </patternFill>
      </fill>
    </dxf>
    <dxf>
      <font>
        <b/>
        <i val="0"/>
        <strike val="0"/>
        <color theme="0"/>
      </font>
      <fill>
        <patternFill>
          <bgColor theme="5"/>
        </patternFill>
      </fill>
    </dxf>
    <dxf>
      <font>
        <b/>
        <i val="0"/>
        <strike val="0"/>
        <color theme="0"/>
      </font>
      <fill>
        <patternFill>
          <bgColor rgb="FF538135"/>
        </patternFill>
      </fill>
    </dxf>
    <dxf>
      <font>
        <b/>
        <i val="0"/>
        <strike val="0"/>
        <color theme="5"/>
      </font>
      <fill>
        <patternFill>
          <bgColor theme="5" tint="0.79998168889431442"/>
        </patternFill>
      </fill>
    </dxf>
    <dxf>
      <font>
        <b/>
        <i val="0"/>
        <strike val="0"/>
        <color rgb="FF538134"/>
      </font>
      <fill>
        <patternFill>
          <bgColor rgb="FFE2EFDA"/>
        </patternFill>
      </fill>
    </dxf>
    <dxf>
      <font>
        <b/>
        <i val="0"/>
        <strike val="0"/>
        <color rgb="FF7F6000"/>
      </font>
      <fill>
        <patternFill>
          <bgColor rgb="FFFFF3CC"/>
        </patternFill>
      </fill>
    </dxf>
    <dxf>
      <font>
        <b/>
        <i val="0"/>
        <strike val="0"/>
        <color theme="9" tint="-0.24994659260841701"/>
      </font>
      <fill>
        <patternFill>
          <bgColor theme="9" tint="0.79998168889431442"/>
        </patternFill>
      </fill>
    </dxf>
    <dxf>
      <font>
        <b/>
        <i val="0"/>
        <strike val="0"/>
        <color theme="3"/>
      </font>
      <fill>
        <patternFill>
          <bgColor theme="4" tint="0.79998168889431442"/>
        </patternFill>
      </fill>
    </dxf>
    <dxf>
      <font>
        <b/>
        <i val="0"/>
        <strike val="0"/>
        <color theme="7"/>
      </font>
      <fill>
        <patternFill>
          <bgColor theme="7" tint="0.79998168889431442"/>
        </patternFill>
      </fill>
    </dxf>
    <dxf>
      <font>
        <b/>
        <i val="0"/>
        <strike val="0"/>
        <color theme="0"/>
      </font>
      <fill>
        <patternFill>
          <bgColor theme="5"/>
        </patternFill>
      </fill>
    </dxf>
    <dxf>
      <font>
        <b/>
        <i val="0"/>
        <strike val="0"/>
        <color theme="0"/>
      </font>
      <fill>
        <patternFill>
          <bgColor rgb="FF538134"/>
        </patternFill>
      </fill>
    </dxf>
    <dxf>
      <font>
        <b/>
        <i val="0"/>
        <strike val="0"/>
        <color theme="0"/>
      </font>
      <fill>
        <patternFill>
          <bgColor rgb="FFBE9000"/>
        </patternFill>
      </fill>
    </dxf>
    <dxf>
      <font>
        <b/>
        <i val="0"/>
        <strike val="0"/>
        <color theme="0"/>
      </font>
      <fill>
        <patternFill>
          <bgColor theme="3"/>
        </patternFill>
      </fill>
    </dxf>
    <dxf>
      <font>
        <b/>
        <i val="0"/>
        <strike val="0"/>
        <color theme="0"/>
      </font>
      <fill>
        <patternFill>
          <bgColor theme="7"/>
        </patternFill>
      </fill>
    </dxf>
    <dxf>
      <font>
        <b/>
        <i val="0"/>
        <strike val="0"/>
        <color theme="0"/>
      </font>
      <fill>
        <patternFill>
          <bgColor theme="9" tint="-0.2499465926084170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strike val="0"/>
        <color theme="5"/>
      </font>
    </dxf>
    <dxf>
      <font>
        <strike val="0"/>
        <color theme="7"/>
      </font>
    </dxf>
    <dxf>
      <font>
        <strike val="0"/>
        <color theme="3"/>
      </font>
    </dxf>
    <dxf>
      <font>
        <strike val="0"/>
        <color theme="9" tint="-0.24994659260841701"/>
      </font>
    </dxf>
    <dxf>
      <font>
        <strike val="0"/>
        <color theme="2" tint="-0.749961851863155"/>
      </font>
    </dxf>
    <dxf>
      <font>
        <strike val="0"/>
        <color rgb="FF538135"/>
      </font>
    </dxf>
    <dxf>
      <font>
        <strike val="0"/>
        <color theme="1"/>
      </font>
      <fill>
        <patternFill>
          <bgColor rgb="FFE2EFD9"/>
        </patternFill>
      </fill>
    </dxf>
    <dxf>
      <font>
        <strike val="0"/>
        <color theme="1"/>
      </font>
      <fill>
        <patternFill>
          <bgColor rgb="FFFFF2CC"/>
        </patternFill>
      </fill>
    </dxf>
    <dxf>
      <font>
        <strike val="0"/>
        <color theme="1"/>
      </font>
      <fill>
        <patternFill>
          <bgColor theme="9" tint="0.79998168889431442"/>
        </patternFill>
      </fill>
    </dxf>
    <dxf>
      <font>
        <strike val="0"/>
        <color theme="1"/>
      </font>
      <fill>
        <patternFill>
          <bgColor theme="4" tint="0.79998168889431442"/>
        </patternFill>
      </fill>
    </dxf>
    <dxf>
      <font>
        <strike val="0"/>
        <color theme="1"/>
      </font>
      <fill>
        <patternFill>
          <bgColor theme="7" tint="0.79998168889431442"/>
        </patternFill>
      </fill>
    </dxf>
    <dxf>
      <font>
        <strike val="0"/>
        <color theme="1"/>
      </font>
      <fill>
        <patternFill>
          <bgColor theme="5" tint="0.79998168889431442"/>
        </patternFill>
      </fill>
    </dxf>
    <dxf>
      <font>
        <b/>
        <i val="0"/>
        <strike val="0"/>
        <color theme="1"/>
      </font>
      <fill>
        <patternFill>
          <bgColor rgb="FFE2EFD9"/>
        </patternFill>
      </fill>
    </dxf>
    <dxf>
      <font>
        <b/>
        <i val="0"/>
        <strike val="0"/>
        <color theme="1"/>
      </font>
      <fill>
        <patternFill>
          <bgColor rgb="FFFFF2CC"/>
        </patternFill>
      </fill>
    </dxf>
    <dxf>
      <font>
        <b/>
        <i val="0"/>
        <strike val="0"/>
        <color theme="1"/>
      </font>
      <fill>
        <patternFill>
          <bgColor theme="9" tint="0.79998168889431442"/>
        </patternFill>
      </fill>
    </dxf>
    <dxf>
      <font>
        <b/>
        <i val="0"/>
        <strike val="0"/>
        <color theme="1"/>
      </font>
      <fill>
        <patternFill>
          <bgColor theme="4" tint="0.79998168889431442"/>
        </patternFill>
      </fill>
    </dxf>
    <dxf>
      <font>
        <b/>
        <i val="0"/>
        <strike val="0"/>
        <color theme="1"/>
      </font>
      <fill>
        <patternFill>
          <bgColor theme="7" tint="0.79998168889431442"/>
        </patternFill>
      </fill>
    </dxf>
    <dxf>
      <font>
        <b/>
        <i val="0"/>
        <strike val="0"/>
        <color theme="1"/>
      </font>
      <fill>
        <patternFill>
          <bgColor theme="5" tint="0.79998168889431442"/>
        </patternFill>
      </fill>
    </dxf>
    <dxf>
      <font>
        <strike val="0"/>
        <color theme="1"/>
      </font>
      <fill>
        <patternFill>
          <bgColor rgb="FFE2EFD9"/>
        </patternFill>
      </fill>
    </dxf>
    <dxf>
      <font>
        <strike val="0"/>
        <color theme="1"/>
      </font>
      <fill>
        <patternFill>
          <bgColor rgb="FFFFF2CC"/>
        </patternFill>
      </fill>
    </dxf>
    <dxf>
      <font>
        <strike val="0"/>
        <color theme="1"/>
      </font>
      <fill>
        <patternFill>
          <bgColor theme="9" tint="0.79998168889431442"/>
        </patternFill>
      </fill>
    </dxf>
    <dxf>
      <font>
        <strike val="0"/>
        <color theme="1"/>
      </font>
      <fill>
        <patternFill>
          <bgColor theme="4" tint="0.79998168889431442"/>
        </patternFill>
      </fill>
    </dxf>
    <dxf>
      <font>
        <strike val="0"/>
        <color theme="1"/>
      </font>
      <fill>
        <patternFill>
          <bgColor theme="7" tint="0.79998168889431442"/>
        </patternFill>
      </fill>
    </dxf>
    <dxf>
      <font>
        <strike val="0"/>
        <color theme="1"/>
      </font>
      <fill>
        <patternFill>
          <bgColor theme="5" tint="0.79998168889431442"/>
        </patternFill>
      </fill>
    </dxf>
    <dxf>
      <font>
        <b/>
        <i val="0"/>
        <strike val="0"/>
        <color theme="0"/>
      </font>
      <fill>
        <patternFill>
          <bgColor rgb="FF538135"/>
        </patternFill>
      </fill>
    </dxf>
    <dxf>
      <font>
        <b/>
        <i val="0"/>
        <strike val="0"/>
        <color theme="0"/>
      </font>
      <fill>
        <patternFill>
          <bgColor rgb="FFBF9000"/>
        </patternFill>
      </fill>
    </dxf>
    <dxf>
      <font>
        <b/>
        <i val="0"/>
        <strike val="0"/>
        <color theme="0"/>
      </font>
      <fill>
        <patternFill>
          <bgColor theme="9" tint="-0.24994659260841701"/>
        </patternFill>
      </fill>
    </dxf>
    <dxf>
      <font>
        <b/>
        <i val="0"/>
        <strike val="0"/>
        <color theme="0"/>
      </font>
      <fill>
        <patternFill>
          <bgColor theme="3"/>
        </patternFill>
      </fill>
    </dxf>
    <dxf>
      <font>
        <b/>
        <i val="0"/>
        <strike val="0"/>
        <color theme="0"/>
      </font>
      <fill>
        <patternFill>
          <bgColor theme="7"/>
        </patternFill>
      </fill>
    </dxf>
    <dxf>
      <font>
        <b/>
        <i val="0"/>
        <strike val="0"/>
        <color theme="0"/>
      </font>
      <fill>
        <patternFill>
          <bgColor theme="5"/>
        </patternFill>
      </fill>
    </dxf>
    <dxf>
      <font>
        <strike val="0"/>
        <color rgb="FF365624"/>
      </font>
      <fill>
        <patternFill>
          <bgColor rgb="FFE2EFD9"/>
        </patternFill>
      </fill>
    </dxf>
    <dxf>
      <font>
        <strike val="0"/>
        <color theme="2" tint="-0.749961851863155"/>
      </font>
      <fill>
        <patternFill>
          <bgColor rgb="FFFFF2CC"/>
        </patternFill>
      </fill>
    </dxf>
    <dxf>
      <font>
        <strike val="0"/>
        <color theme="9" tint="-0.24994659260841701"/>
      </font>
      <fill>
        <patternFill>
          <bgColor theme="9" tint="0.79998168889431442"/>
        </patternFill>
      </fill>
    </dxf>
    <dxf>
      <font>
        <strike val="0"/>
        <color theme="3"/>
      </font>
      <fill>
        <patternFill>
          <bgColor theme="4"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b/>
        <i val="0"/>
        <strike val="0"/>
        <color theme="1"/>
      </font>
      <border>
        <vertical/>
        <horizontal/>
      </border>
    </dxf>
    <dxf>
      <font>
        <strike val="0"/>
        <color theme="5"/>
      </font>
    </dxf>
    <dxf>
      <font>
        <strike val="0"/>
        <color theme="7"/>
      </font>
    </dxf>
    <dxf>
      <font>
        <strike val="0"/>
        <color theme="3"/>
      </font>
    </dxf>
    <dxf>
      <font>
        <strike val="0"/>
        <color theme="9" tint="-0.24994659260841701"/>
      </font>
    </dxf>
    <dxf>
      <font>
        <strike val="0"/>
        <color theme="2" tint="-0.749961851863155"/>
      </font>
    </dxf>
    <dxf>
      <font>
        <strike val="0"/>
        <color rgb="FF538135"/>
      </font>
    </dxf>
    <dxf>
      <font>
        <strike val="0"/>
        <color theme="1"/>
      </font>
      <fill>
        <patternFill>
          <bgColor rgb="FFE2EFD9"/>
        </patternFill>
      </fill>
    </dxf>
    <dxf>
      <font>
        <strike val="0"/>
        <color theme="1"/>
      </font>
      <fill>
        <patternFill>
          <bgColor rgb="FFFFF2CC"/>
        </patternFill>
      </fill>
    </dxf>
    <dxf>
      <font>
        <strike val="0"/>
        <color theme="1"/>
      </font>
      <fill>
        <patternFill>
          <bgColor theme="9" tint="0.79998168889431442"/>
        </patternFill>
      </fill>
    </dxf>
    <dxf>
      <font>
        <strike val="0"/>
        <color theme="1"/>
      </font>
      <fill>
        <patternFill>
          <bgColor theme="4" tint="0.79998168889431442"/>
        </patternFill>
      </fill>
    </dxf>
    <dxf>
      <font>
        <strike val="0"/>
        <color theme="1"/>
      </font>
      <fill>
        <patternFill>
          <bgColor theme="7" tint="0.79998168889431442"/>
        </patternFill>
      </fill>
    </dxf>
    <dxf>
      <font>
        <strike val="0"/>
        <color theme="1"/>
      </font>
      <fill>
        <patternFill>
          <bgColor theme="5" tint="0.79998168889431442"/>
        </patternFill>
      </fill>
    </dxf>
    <dxf>
      <font>
        <b/>
        <i val="0"/>
        <strike val="0"/>
        <color theme="1"/>
      </font>
      <fill>
        <patternFill>
          <bgColor rgb="FFE2EFD9"/>
        </patternFill>
      </fill>
    </dxf>
    <dxf>
      <font>
        <b/>
        <i val="0"/>
        <strike val="0"/>
        <color theme="1"/>
      </font>
      <fill>
        <patternFill>
          <bgColor rgb="FFFFF2CC"/>
        </patternFill>
      </fill>
    </dxf>
    <dxf>
      <font>
        <b/>
        <i val="0"/>
        <strike val="0"/>
        <color theme="1"/>
      </font>
      <fill>
        <patternFill>
          <bgColor theme="9" tint="0.79998168889431442"/>
        </patternFill>
      </fill>
    </dxf>
    <dxf>
      <font>
        <b/>
        <i val="0"/>
        <strike val="0"/>
        <color theme="1"/>
      </font>
      <fill>
        <patternFill>
          <bgColor theme="4" tint="0.79998168889431442"/>
        </patternFill>
      </fill>
    </dxf>
    <dxf>
      <font>
        <b/>
        <i val="0"/>
        <strike val="0"/>
        <color theme="1"/>
      </font>
      <fill>
        <patternFill>
          <bgColor theme="7" tint="0.79998168889431442"/>
        </patternFill>
      </fill>
    </dxf>
    <dxf>
      <font>
        <b/>
        <i val="0"/>
        <strike val="0"/>
        <color theme="1"/>
      </font>
      <fill>
        <patternFill>
          <bgColor theme="5" tint="0.79998168889431442"/>
        </patternFill>
      </fill>
    </dxf>
    <dxf>
      <font>
        <strike val="0"/>
        <color theme="1"/>
      </font>
      <fill>
        <patternFill>
          <bgColor rgb="FFE2EFD9"/>
        </patternFill>
      </fill>
    </dxf>
    <dxf>
      <font>
        <strike val="0"/>
        <color theme="1"/>
      </font>
      <fill>
        <patternFill>
          <bgColor rgb="FFFFF2CC"/>
        </patternFill>
      </fill>
    </dxf>
    <dxf>
      <font>
        <strike val="0"/>
        <color theme="1"/>
      </font>
      <fill>
        <patternFill>
          <bgColor theme="9" tint="0.79998168889431442"/>
        </patternFill>
      </fill>
    </dxf>
    <dxf>
      <font>
        <strike val="0"/>
        <color theme="1"/>
      </font>
      <fill>
        <patternFill>
          <bgColor theme="4" tint="0.79998168889431442"/>
        </patternFill>
      </fill>
    </dxf>
    <dxf>
      <font>
        <strike val="0"/>
        <color theme="1"/>
      </font>
      <fill>
        <patternFill>
          <bgColor theme="7" tint="0.79998168889431442"/>
        </patternFill>
      </fill>
    </dxf>
    <dxf>
      <font>
        <strike val="0"/>
        <color theme="1"/>
      </font>
      <fill>
        <patternFill>
          <bgColor theme="5" tint="0.79998168889431442"/>
        </patternFill>
      </fill>
    </dxf>
    <dxf>
      <font>
        <b/>
        <i val="0"/>
        <strike val="0"/>
        <color theme="0"/>
      </font>
      <fill>
        <patternFill>
          <bgColor rgb="FF538135"/>
        </patternFill>
      </fill>
    </dxf>
    <dxf>
      <font>
        <b/>
        <i val="0"/>
        <strike val="0"/>
        <color theme="0"/>
      </font>
      <fill>
        <patternFill>
          <bgColor rgb="FFBF9000"/>
        </patternFill>
      </fill>
    </dxf>
    <dxf>
      <font>
        <b/>
        <i val="0"/>
        <strike val="0"/>
        <color theme="0"/>
      </font>
      <fill>
        <patternFill>
          <bgColor theme="9" tint="-0.24994659260841701"/>
        </patternFill>
      </fill>
    </dxf>
    <dxf>
      <font>
        <b/>
        <i val="0"/>
        <strike val="0"/>
        <color theme="0"/>
      </font>
      <fill>
        <patternFill>
          <bgColor theme="3"/>
        </patternFill>
      </fill>
    </dxf>
    <dxf>
      <font>
        <b/>
        <i val="0"/>
        <strike val="0"/>
        <color theme="0"/>
      </font>
      <fill>
        <patternFill>
          <bgColor theme="7"/>
        </patternFill>
      </fill>
    </dxf>
    <dxf>
      <font>
        <b/>
        <i val="0"/>
        <strike val="0"/>
        <color theme="0"/>
      </font>
      <fill>
        <patternFill>
          <bgColor theme="5"/>
        </patternFill>
      </fill>
    </dxf>
    <dxf>
      <font>
        <strike val="0"/>
        <color rgb="FF365624"/>
      </font>
      <fill>
        <patternFill>
          <bgColor rgb="FFE2EFD9"/>
        </patternFill>
      </fill>
    </dxf>
    <dxf>
      <font>
        <strike val="0"/>
        <color theme="2" tint="-0.749961851863155"/>
      </font>
      <fill>
        <patternFill>
          <bgColor rgb="FFFFF2CC"/>
        </patternFill>
      </fill>
    </dxf>
    <dxf>
      <font>
        <strike val="0"/>
        <color theme="9" tint="-0.24994659260841701"/>
      </font>
      <fill>
        <patternFill>
          <bgColor theme="9" tint="0.79998168889431442"/>
        </patternFill>
      </fill>
    </dxf>
    <dxf>
      <font>
        <strike val="0"/>
        <color theme="3"/>
      </font>
      <fill>
        <patternFill>
          <bgColor theme="4"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6600"/>
      <rgbColor rgb="00000080"/>
      <rgbColor rgb="00996633"/>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FF9999"/>
      <rgbColor rgb="00CC99FF"/>
      <rgbColor rgb="00EAEAEA"/>
      <rgbColor rgb="003366FF"/>
      <rgbColor rgb="0033CCCC"/>
      <rgbColor rgb="00CC9900"/>
      <rgbColor rgb="00DDDDDD"/>
      <rgbColor rgb="00C0C0C0"/>
      <rgbColor rgb="00B2B2B2"/>
      <rgbColor rgb="00666699"/>
      <rgbColor rgb="00969696"/>
      <rgbColor rgb="003333CC"/>
      <rgbColor rgb="00339933"/>
      <rgbColor rgb="00003300"/>
      <rgbColor rgb="00663300"/>
      <rgbColor rgb="00969696"/>
      <rgbColor rgb="00993366"/>
      <rgbColor rgb="00333399"/>
      <rgbColor rgb="00424242"/>
    </indexedColors>
    <mruColors>
      <color rgb="FFFFD761"/>
      <color rgb="FFF8BA00"/>
      <color rgb="FFBA8B00"/>
      <color rgb="FF7C6992"/>
      <color rgb="FF961C37"/>
      <color rgb="FFBE9000"/>
      <color rgb="FF7F6000"/>
      <color rgb="FF538134"/>
      <color rgb="FFFFC000"/>
      <color rgb="FFFFF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393700</xdr:colOff>
      <xdr:row>2</xdr:row>
      <xdr:rowOff>139699</xdr:rowOff>
    </xdr:from>
    <xdr:to>
      <xdr:col>4</xdr:col>
      <xdr:colOff>1181100</xdr:colOff>
      <xdr:row>8</xdr:row>
      <xdr:rowOff>47601</xdr:rowOff>
    </xdr:to>
    <xdr:pic>
      <xdr:nvPicPr>
        <xdr:cNvPr id="3" name="Picture 2">
          <a:extLst>
            <a:ext uri="{FF2B5EF4-FFF2-40B4-BE49-F238E27FC236}">
              <a16:creationId xmlns:a16="http://schemas.microsoft.com/office/drawing/2014/main" id="{6D5B9620-B9F8-B944-840E-78FC3034D295}"/>
            </a:ext>
          </a:extLst>
        </xdr:cNvPr>
        <xdr:cNvPicPr>
          <a:picLocks noChangeAspect="1"/>
        </xdr:cNvPicPr>
      </xdr:nvPicPr>
      <xdr:blipFill>
        <a:blip xmlns:r="http://schemas.openxmlformats.org/officeDocument/2006/relationships" r:embed="rId1"/>
        <a:stretch>
          <a:fillRect/>
        </a:stretch>
      </xdr:blipFill>
      <xdr:spPr>
        <a:xfrm>
          <a:off x="2514600" y="457199"/>
          <a:ext cx="2286000" cy="8223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xdr:colOff>
      <xdr:row>2</xdr:row>
      <xdr:rowOff>152399</xdr:rowOff>
    </xdr:from>
    <xdr:to>
      <xdr:col>4</xdr:col>
      <xdr:colOff>673101</xdr:colOff>
      <xdr:row>8</xdr:row>
      <xdr:rowOff>111101</xdr:rowOff>
    </xdr:to>
    <xdr:pic>
      <xdr:nvPicPr>
        <xdr:cNvPr id="5" name="Picture 4">
          <a:extLst>
            <a:ext uri="{FF2B5EF4-FFF2-40B4-BE49-F238E27FC236}">
              <a16:creationId xmlns:a16="http://schemas.microsoft.com/office/drawing/2014/main" id="{C40889D4-4EF2-734F-B865-C980BBA187FE}"/>
            </a:ext>
          </a:extLst>
        </xdr:cNvPr>
        <xdr:cNvPicPr>
          <a:picLocks noChangeAspect="1"/>
        </xdr:cNvPicPr>
      </xdr:nvPicPr>
      <xdr:blipFill>
        <a:blip xmlns:r="http://schemas.openxmlformats.org/officeDocument/2006/relationships" r:embed="rId1">
          <a:alphaModFix/>
        </a:blip>
        <a:stretch>
          <a:fillRect/>
        </a:stretch>
      </xdr:blipFill>
      <xdr:spPr>
        <a:xfrm>
          <a:off x="2413001" y="393699"/>
          <a:ext cx="2286000" cy="8223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393700</xdr:colOff>
      <xdr:row>2</xdr:row>
      <xdr:rowOff>139699</xdr:rowOff>
    </xdr:from>
    <xdr:to>
      <xdr:col>4</xdr:col>
      <xdr:colOff>1181100</xdr:colOff>
      <xdr:row>8</xdr:row>
      <xdr:rowOff>47601</xdr:rowOff>
    </xdr:to>
    <xdr:pic>
      <xdr:nvPicPr>
        <xdr:cNvPr id="3" name="Picture 2">
          <a:extLst>
            <a:ext uri="{FF2B5EF4-FFF2-40B4-BE49-F238E27FC236}">
              <a16:creationId xmlns:a16="http://schemas.microsoft.com/office/drawing/2014/main" id="{9BF1F25D-09CC-7449-AE99-16DB3F88DF68}"/>
            </a:ext>
          </a:extLst>
        </xdr:cNvPr>
        <xdr:cNvPicPr>
          <a:picLocks noChangeAspect="1"/>
        </xdr:cNvPicPr>
      </xdr:nvPicPr>
      <xdr:blipFill>
        <a:blip xmlns:r="http://schemas.openxmlformats.org/officeDocument/2006/relationships" r:embed="rId1"/>
        <a:stretch>
          <a:fillRect/>
        </a:stretch>
      </xdr:blipFill>
      <xdr:spPr>
        <a:xfrm>
          <a:off x="2514600" y="457199"/>
          <a:ext cx="2286000" cy="8223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101600</xdr:colOff>
      <xdr:row>3</xdr:row>
      <xdr:rowOff>63499</xdr:rowOff>
    </xdr:from>
    <xdr:to>
      <xdr:col>5</xdr:col>
      <xdr:colOff>25400</xdr:colOff>
      <xdr:row>9</xdr:row>
      <xdr:rowOff>47601</xdr:rowOff>
    </xdr:to>
    <xdr:pic>
      <xdr:nvPicPr>
        <xdr:cNvPr id="2" name="Picture 1">
          <a:extLst>
            <a:ext uri="{FF2B5EF4-FFF2-40B4-BE49-F238E27FC236}">
              <a16:creationId xmlns:a16="http://schemas.microsoft.com/office/drawing/2014/main" id="{A0998031-3B6B-1E47-B582-756BF99702E9}"/>
            </a:ext>
          </a:extLst>
        </xdr:cNvPr>
        <xdr:cNvPicPr>
          <a:picLocks noChangeAspect="1"/>
        </xdr:cNvPicPr>
      </xdr:nvPicPr>
      <xdr:blipFill>
        <a:blip xmlns:r="http://schemas.openxmlformats.org/officeDocument/2006/relationships" r:embed="rId1"/>
        <a:stretch>
          <a:fillRect/>
        </a:stretch>
      </xdr:blipFill>
      <xdr:spPr>
        <a:xfrm>
          <a:off x="2514600" y="457199"/>
          <a:ext cx="2286000" cy="8223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101600</xdr:colOff>
      <xdr:row>3</xdr:row>
      <xdr:rowOff>63499</xdr:rowOff>
    </xdr:from>
    <xdr:to>
      <xdr:col>5</xdr:col>
      <xdr:colOff>25400</xdr:colOff>
      <xdr:row>9</xdr:row>
      <xdr:rowOff>22201</xdr:rowOff>
    </xdr:to>
    <xdr:pic>
      <xdr:nvPicPr>
        <xdr:cNvPr id="2" name="Picture 1">
          <a:extLst>
            <a:ext uri="{FF2B5EF4-FFF2-40B4-BE49-F238E27FC236}">
              <a16:creationId xmlns:a16="http://schemas.microsoft.com/office/drawing/2014/main" id="{2C53A52B-48AF-494A-A756-35FB9887DB66}"/>
            </a:ext>
          </a:extLst>
        </xdr:cNvPr>
        <xdr:cNvPicPr>
          <a:picLocks noChangeAspect="1"/>
        </xdr:cNvPicPr>
      </xdr:nvPicPr>
      <xdr:blipFill>
        <a:blip xmlns:r="http://schemas.openxmlformats.org/officeDocument/2006/relationships" r:embed="rId1"/>
        <a:stretch>
          <a:fillRect/>
        </a:stretch>
      </xdr:blipFill>
      <xdr:spPr>
        <a:xfrm>
          <a:off x="2514600" y="457199"/>
          <a:ext cx="2286000" cy="82230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homas Bittner" id="{7223F2EA-A35D-FE46-AC16-0681ECF5150B}" userId="S::tbittner@uwsa.edu::9fa59c11-4757-457a-a213-f7b24a97bb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8" dT="2022-12-31T21:24:44.20" personId="{7223F2EA-A35D-FE46-AC16-0681ECF5150B}" id="{8FD50AA7-6741-874E-8573-AF62B2BC95C5}">
    <text xml:space="preserve">Please use the current PBW template to find an updated escalation factor based on Base Date, Bid Date, and more current ENR Index values published after this file's PBW Revision Date. This allows a quick one cell and one value edit to update a previous budget estimate without having to recreate the entire PBW again, assuming all that has changed is inflation. </text>
  </threadedComment>
</ThreadedComments>
</file>

<file path=xl/threadedComments/threadedComment2.xml><?xml version="1.0" encoding="utf-8"?>
<ThreadedComments xmlns="http://schemas.microsoft.com/office/spreadsheetml/2018/threadedcomments" xmlns:x="http://schemas.openxmlformats.org/spreadsheetml/2006/main">
  <threadedComment ref="H1" dT="2022-12-31T21:26:24.86" personId="{7223F2EA-A35D-FE46-AC16-0681ECF5150B}" id="{31C84E90-F4CD-294C-821E-47C5A2CC8CCE}">
    <text>This worksheet will auto-complete based on Project Budget Worksheet (PBW).</text>
  </threadedComment>
</ThreadedComments>
</file>

<file path=xl/threadedComments/threadedComment3.xml><?xml version="1.0" encoding="utf-8"?>
<ThreadedComments xmlns="http://schemas.microsoft.com/office/spreadsheetml/2018/threadedcomments" xmlns:x="http://schemas.openxmlformats.org/spreadsheetml/2006/main">
  <threadedComment ref="G3" dT="2022-12-31T21:13:53.22" personId="{7223F2EA-A35D-FE46-AC16-0681ECF5150B}" id="{0FBC002F-8431-4248-B393-6FAC3E85DC09}">
    <text>The contents in this cell should be hard coded to the date the PBW is finalized. Simply overwrite the formula with the actual date entry (i.e. 04/01/2022).</text>
  </threadedComment>
  <threadedComment ref="A4" dT="2022-12-31T21:15:03.65" personId="{7223F2EA-A35D-FE46-AC16-0681ECF5150B}" id="{C7403AF5-F38A-1048-9D11-3BC22BAA3422}">
    <text>Intended to contain the UW Institution Name (i.e. UW-INSTITUTION NAME). This field has a drop down pick list to choose from for standardized institution names.</text>
  </threadedComment>
  <threadedComment ref="A5" dT="2022-12-31T21:14:30.14" personId="{7223F2EA-A35D-FE46-AC16-0681ECF5150B}" id="{F93897B8-6825-CE44-B28E-AD2ED8B0063C}">
    <text>AA = All Agency
IS = Instructional Space
MFR = Minor Facilities Renewal
MP = Major Project
P&amp;D = Planning &amp; Design
SP = Small Project
X = Unspecified</text>
  </threadedComment>
  <threadedComment ref="A6" dT="2022-12-31T21:15:25.11" personId="{7223F2EA-A35D-FE46-AC16-0681ECF5150B}" id="{D790599E-DE40-4042-A989-C9F6DC2410AC}">
    <text>Intended to contain the Project Name, Project No., Alternate or Option No., and date reference of publication.</text>
  </threadedComment>
  <threadedComment ref="G9" dT="2022-12-31T21:15:54.50" personId="{7223F2EA-A35D-FE46-AC16-0681ECF5150B}" id="{AAD73E21-82ED-4945-A4BD-519F93EC466D}">
    <text>Base Date should be on or prior to revision date of Project Budget Worksheet template to maximize the actual inflation included in the budget estimate vs. estimated inflation.
Cell has conditional formatting to highlight RED if Base Date &gt; PBW Revision Date or if Base Date is more than 4 years old, highlight YELLOW if the Base Date is between 2-4 years old.</text>
  </threadedComment>
  <threadedComment ref="G12" dT="2022-12-31T21:16:17.79" personId="{7223F2EA-A35D-FE46-AC16-0681ECF5150B}" id="{CBD8749D-37E7-9F44-A7FC-A681C35DCB8B}">
    <text>This value will default to the Escalation (Calculated) value above based on the Base Date and Bid Date values embedded in the ENR Index worksheet included in this workbook template. 
This value can be manually overwritten using the ENR Index values from a future Project Budget Worksheet edition to correct inflation value calculations and estimates after the initial Project Budget Worksheet creation and submittal.</text>
  </threadedComment>
  <threadedComment ref="G14" dT="2022-12-31T21:16:47.22" personId="{7223F2EA-A35D-FE46-AC16-0681ECF5150B}" id="{956A9DB7-1733-994B-BCD3-986104710021}">
    <text>Occupancy Date will autocalculate based on project size and DFD guidance on project duration based on project size.</text>
  </threadedComment>
  <threadedComment ref="F39" dT="2022-12-31T21:17:13.12" personId="{7223F2EA-A35D-FE46-AC16-0681ECF5150B}" id="{447C04C3-3E99-C542-A0F4-983FBCDAA2A6}">
    <text>DFD Standard Trade Unit Costs: Automatically updated based on July 2011 ENR Value and the PBW Base Index Value defined above.</text>
  </threadedComment>
  <threadedComment ref="G67" dT="2022-12-31T21:17:56.37" personId="{7223F2EA-A35D-FE46-AC16-0681ECF5150B}" id="{589A3024-3C7A-4843-938A-F1FDBCC2FD91}">
    <text>DFD Standard Demolition Cost: Automatically updated based on July 2018 ENR Value and the PBW Base Index Value defined above.</text>
  </threadedComment>
  <threadedComment ref="B130" dT="2022-12-31T21:18:23.00" personId="{7223F2EA-A35D-FE46-AC16-0681ECF5150B}" id="{C40C5361-A92B-4640-87E0-349898AFC8AB}">
    <text>Default to 10%, but may range above or below that value dependent on size, complexity, and development status of project. Use Designer's value from feasibility study when possible. Value should be 0% if Design Report is complete.</text>
  </threadedComment>
  <threadedComment ref="B131" dT="2022-12-31T21:18:42.14" personId="{7223F2EA-A35D-FE46-AC16-0681ECF5150B}" id="{37817C58-33BD-1140-AA1C-66FCDDE19BF0}">
    <text xml:space="preserve">Indirect project costs, project specific costs that do not result in an asset. Use Desiger's value from Pre-Design Report when necessary (i.e. when pre-design values that are used in PBW do not already include General conditions factors). </text>
  </threadedComment>
  <threadedComment ref="B132" dT="2022-12-31T21:19:01.67" personId="{7223F2EA-A35D-FE46-AC16-0681ECF5150B}" id="{279762C7-35D2-2B4B-BF29-F86B2EF1013F}">
    <text xml:space="preserve">Indirect non-project costs. Typically ranges from 5% to 15%. Use Desiger's value from Pre-Design Report when necessary (i.e. when pre-design values that are used in PBW do not already include OH&amp;P factors). </text>
  </threadedComment>
  <threadedComment ref="B138" dT="2022-12-31T21:19:29.01" personId="{7223F2EA-A35D-FE46-AC16-0681ECF5150B}" id="{AB92EC90-CF3E-D545-AB91-8BA95578311B}">
    <text>New Construction Design Fee Guidance
                      Project Complexity
Construction Cost     HIGH |  AVG  |  LOW
≦ $100K:            (14.2% | 13.6% | 12.8%)
$100K - $500K:      (14.1% | 13.3% | 12.3%)
$500K - $1M:        (11.6% | 10.9% |  9.9%)
$1M - $2.5M:        (10.6% |  9.8% |  8.8%)
$2.5M - $5M:        ( 9.2% |  8.3% |  7.3%)
$5M - $30M:         ( 8.3% |  7.4% |  6.3%)
$30M - $50M:        ( 7.0% |  6.2% |  5.3%)
$50M+:              ( 6.1% |  5.5% |  4.7%)
Renovation &amp; Remodeling Design Fee Guidance
                      Project Complexity
Construction Cost     HIGH |  AVG  |  LOW
≦ $100K:            (16.0% | 14.0% | 13.0%)
$100K - $500K:      (14.3% | 13.5% | 12.5%)
$500K - $1M:        (12.0% | 11.1% | 10.1%)
$1M - $2.5M:        (10.9% |  9.9% |  8.9%)
$2.5M - $5M:        ( 9.4% |  8.5% |  7.4%)
$5M - $30M:         ( 8.4% |  7.5% |  6.4%)
$30M - $50M:        ( 7.1% |  6.3% |  5.4%)
$50M+:              ( 6.2% |  5.6% |  4.8%)
If programming is not done by the agency, or if extensive program verification is required, an additional 0.1% to 1.5% should be added to the fee guidance shown above. 
High Complexity: Most complex projects both in design and detail include buildings of specialized architectural character, memorial, historic or monumental nature requiring special study or analysis and/or involve complex programs, mechanical systems, code requirements, etc. Project types include auditorium/theaters, communication buildings, extended care facilities, complex engineering projects, laboratories, historical restoration, and museums.
Average Complexity: Project types include readiness centers, building systems, maintenance shops, firing ranges, recreational facilities, teaching laboratories, medical offices &amp; clinics, laundry facilities, office buildings, site utilities, university centers, residence halls, and child day care facilities.
Low Complexity: Projects are simple or repetitive construction without any great degree of special finish or design effort. May include projects where equipment purchase comprises a large portion of the construction budget. Project types include asbestos removal, building envelope repairs, roofing, life safety compliance, demolition, minimum security correctional centers, park shelters, warehouse, radio/television towers, service garage, and site work.</text>
  </threadedComment>
  <threadedComment ref="D139" dT="2022-12-31T21:20:29.84" personId="{7223F2EA-A35D-FE46-AC16-0681ECF5150B}" id="{B2507F47-2F72-9243-BC76-2E628E880158}">
    <text>Data Entry in this cell will override the calculated Fee in the Row above based on the % of Construction Cost. This cell can be used for Fees only type projects (i.e. Feasibility Studies, Master Plans, etc.) or when the user needs to match a specific $ amount that is easier to enter than to calculate.</text>
  </threadedComment>
  <threadedComment ref="B140" dT="2022-12-31T21:20:08.20" personId="{7223F2EA-A35D-FE46-AC16-0681ECF5150B}" id="{3A2A6697-23EF-C24B-ADCC-E8E4CFA9ACE4}">
    <text>Normally 4% of A/E fee for Major Projects. Includes survey, geotechnical, and plan review.</text>
  </threadedComment>
  <threadedComment ref="B143" dT="2022-12-31T21:20:53.72" personId="{7223F2EA-A35D-FE46-AC16-0681ECF5150B}" id="{5B9AC1A3-65DE-0549-85D2-51766F9B3B56}">
    <text>Ranges from 1/2% to 1-1/4% for Major Projects.</text>
  </threadedComment>
  <threadedComment ref="B145" dT="2022-12-31T21:21:13.51" personId="{7223F2EA-A35D-FE46-AC16-0681ECF5150B}" id="{1E04D922-8DD6-7541-B220-F6B579C7A90D}">
    <text>Level 1 = 0.00% - 0.25%
Level 2 = 0.15% - 1.00%</text>
  </threadedComment>
  <threadedComment ref="D146" dT="2022-12-31T21:21:36.74" personId="{7223F2EA-A35D-FE46-AC16-0681ECF5150B}" id="{D25DB76D-ECD2-A64C-A653-A48862C03227}">
    <text>Type  I: $50,000 - $100,000 Type II: $30,000 - $50,000</text>
  </threadedComment>
  <threadedComment ref="B152" dT="2022-12-31T21:21:58.10" personId="{7223F2EA-A35D-FE46-AC16-0681ECF5150B}" id="{4F015D2C-D763-8347-99BE-4DAD4B0C39E6}">
    <text>This Design Fee is a percent of the OFCI Furnishings, Fixtures, &amp; Equipment Cost Estimate. Percentages will vary based on complexity of project, FF&amp;E items, and services desired.
≤4% of FF&amp;E Budget: Selection and specification only.
≤10% of FF&amp;E Budget: Selection, specification, layout/design, and procurement assistance. 
REQUIRES DATA ENTRY IN ONE OR MORE OF THE FIVE ROWS IMMEDIATELY BELOW THIS ROW.</text>
  </threadedComment>
  <threadedComment ref="B160" dT="2022-12-31T21:22:18.75" personId="{7223F2EA-A35D-FE46-AC16-0681ECF5150B}" id="{B5335DAB-1056-0D4F-AC41-C09616CAAE0D}">
    <text>Percent of Total Construction Cost. 15% default for all projects.</text>
  </threadedComment>
  <threadedComment ref="D162" dT="2022-12-31T21:22:40.26" personId="{7223F2EA-A35D-FE46-AC16-0681ECF5150B}" id="{68FCACE1-27B0-E04B-891C-23C0CD0B41D3}">
    <text>4% of (Total Construction Cost + Project Contingency).</text>
  </threadedComment>
  <threadedComment ref="B167" dT="2022-12-31T21:23:10.64" personId="{7223F2EA-A35D-FE46-AC16-0681ECF5150B}" id="{08D0C541-376B-6C4F-BC08-C51B81C1434A}">
    <text>Lump sum percentage of construction value + the itemized costs in the five rows below this row. Percentages will vary based on project type, how much existing FF&amp;E will be salvaged, etc. 
     - Typical project 5-10% 
     - Laboratory buildings 10-15%</text>
  </threadedComment>
</ThreadedComments>
</file>

<file path=xl/threadedComments/threadedComment4.xml><?xml version="1.0" encoding="utf-8"?>
<ThreadedComments xmlns="http://schemas.microsoft.com/office/spreadsheetml/2018/threadedcomments" xmlns:x="http://schemas.openxmlformats.org/spreadsheetml/2006/main">
  <threadedComment ref="H1" dT="2022-12-31T21:25:51.56" personId="{7223F2EA-A35D-FE46-AC16-0681ECF5150B}" id="{FA364F24-0F4A-A94F-B31F-D2A80431623B}">
    <text>This worksheet will auto-complete based on Project Budget Worksheet (PBW).</text>
  </threadedComment>
</ThreadedComments>
</file>

<file path=xl/threadedComments/threadedComment5.xml><?xml version="1.0" encoding="utf-8"?>
<ThreadedComments xmlns="http://schemas.microsoft.com/office/spreadsheetml/2018/threadedcomments" xmlns:x="http://schemas.openxmlformats.org/spreadsheetml/2006/main">
  <threadedComment ref="H1" dT="2022-12-31T21:27:02.39" personId="{7223F2EA-A35D-FE46-AC16-0681ECF5150B}" id="{86542E4D-466F-1D43-8AA7-E03BD517DCF5}">
    <text>This worksheet will auto-complete based on Project Budget Worksheet (PBW).</text>
  </threadedComment>
</ThreadedComments>
</file>

<file path=xl/threadedComments/threadedComment6.xml><?xml version="1.0" encoding="utf-8"?>
<ThreadedComments xmlns="http://schemas.microsoft.com/office/spreadsheetml/2018/threadedcomments" xmlns:x="http://schemas.openxmlformats.org/spreadsheetml/2006/main">
  <threadedComment ref="C3" dT="2022-12-31T21:28:04.74" personId="{7223F2EA-A35D-FE46-AC16-0681ECF5150B}" id="{11DDF280-7EC0-4E45-8240-5177D2392EDE}">
    <text>This value will auto-complete based on PBW_NoInflationWorksheet.</text>
  </threadedComment>
  <threadedComment ref="C4" dT="2022-12-31T21:28:23.73" personId="{7223F2EA-A35D-FE46-AC16-0681ECF5150B}" id="{FBDBE5AA-9E3A-A14B-84E2-79FC48CF0CBD}">
    <text>This value will auto-complete based on Project Budget Worksheet (PBW).</text>
  </threadedComment>
</ThreadedComments>
</file>

<file path=xl/threadedComments/threadedComment7.xml><?xml version="1.0" encoding="utf-8"?>
<ThreadedComments xmlns="http://schemas.microsoft.com/office/spreadsheetml/2018/threadedcomments" xmlns:x="http://schemas.openxmlformats.org/spreadsheetml/2006/main">
  <threadedComment ref="B3" dT="2022-12-31T21:29:02.33" personId="{7223F2EA-A35D-FE46-AC16-0681ECF5150B}" id="{F53B111D-F1EA-1C4B-B114-F199C84D472E}">
    <text>This value will auto-complete based on PBW_NoInflationWorksheet.</text>
  </threadedComment>
  <threadedComment ref="B4" dT="2022-12-31T21:29:19.72" personId="{7223F2EA-A35D-FE46-AC16-0681ECF5150B}" id="{E4A38D81-C874-BE48-9528-780AB12F2522}">
    <text>This value will auto-complete based on Project Budget Worksheet (PBW).</text>
  </threadedComment>
  <threadedComment ref="C4" dT="2022-12-31T21:30:03.43" personId="{7223F2EA-A35D-FE46-AC16-0681ECF5150B}" id="{889A9625-E221-9E4D-AB8F-CC0880916DB6}">
    <text>This value will auto-complete based on Project Budget Worksheet (PBW).</text>
  </threadedComment>
  <threadedComment ref="B5" dT="2022-12-31T21:29:27.96" personId="{7223F2EA-A35D-FE46-AC16-0681ECF5150B}" id="{E9F4FA1D-0A93-5C4C-B302-36EB949EE1E7}">
    <text>This value will auto-complete based on Project Budget Worksheet (PBW).</text>
  </threadedComment>
  <threadedComment ref="C5" dT="2022-12-31T21:30:14.48" personId="{7223F2EA-A35D-FE46-AC16-0681ECF5150B}" id="{261460B8-8540-CF44-BBF9-BB48AF5C767A}">
    <text>This value will auto-complete based on Project Budget Worksheet (PBW).</text>
  </threadedComment>
  <threadedComment ref="B6" dT="2022-12-31T21:29:36.76" personId="{7223F2EA-A35D-FE46-AC16-0681ECF5150B}" id="{39709B87-F2CC-334D-A2A5-FCAA7581238A}">
    <text>This value will auto-complete based on Project Budget Worksheet (PBW).</text>
  </threadedComment>
  <threadedComment ref="B8" dT="2022-12-31T21:29:51.79" personId="{7223F2EA-A35D-FE46-AC16-0681ECF5150B}" id="{422A518A-BDF2-5A40-AAB5-A9157313F1A0}">
    <text>This value will auto-complete based on Project Budget Worksheet (PBW).</text>
  </threadedComment>
</ThreadedComments>
</file>

<file path=xl/threadedComments/threadedComment8.xml><?xml version="1.0" encoding="utf-8"?>
<ThreadedComments xmlns="http://schemas.microsoft.com/office/spreadsheetml/2018/threadedcomments" xmlns:x="http://schemas.openxmlformats.org/spreadsheetml/2006/main">
  <threadedComment ref="B4" dT="2022-12-05T15:42:10.50" personId="{7223F2EA-A35D-FE46-AC16-0681ECF5150B}" id="{0D3BCD2F-46D2-B044-8C85-F730AA7FE02A}">
    <text>Intended that the modified Inflation Factor entered here would be determined and calculated based on a later PBW Revision template with a more current and updated ENR worksheet content. The ENR worksheet content included in this file is frozen in time.</text>
  </threadedComment>
  <threadedComment ref="B5" dT="2022-12-05T16:01:05.58" personId="{7223F2EA-A35D-FE46-AC16-0681ECF5150B}" id="{22B46F9E-F69B-9B48-B66F-6ABC2055377B}">
    <text>Primarily intended to quickly see differences in budget estimates for proposed accelerated schedules.</text>
  </threadedComment>
  <threadedComment ref="B6" dT="2022-12-05T15:46:10.20" personId="{7223F2EA-A35D-FE46-AC16-0681ECF5150B}" id="{9D7049F7-E8DB-944E-A72E-5C65561186DF}">
    <text>Although it is possible to make duplicates of the PBW worksheet in the same file to explore alternatives and options, the PBW_Summary worksheet will only map to the original PBW worksheet content.</text>
  </threadedComment>
  <threadedComment ref="B10" dT="2022-12-05T16:08:12.73" personId="{7223F2EA-A35D-FE46-AC16-0681ECF5150B}" id="{A1B2B75F-A08B-7D49-BF6F-F5EBFB69E006}">
    <text>Data source found at &lt;https://www.enr.com/economics/historical_indices/building_cost_index_history&gt;, but requires user account to access data content.</text>
    <extLst>
      <x:ext xmlns:xltc2="http://schemas.microsoft.com/office/spreadsheetml/2020/threadedcomments2" uri="{F7C98A9C-CBB3-438F-8F68-D28B6AF4A901}">
        <xltc2:checksum>1998844411</xltc2:checksum>
        <xltc2:hyperlink startIndex="22" length="76" url="https://www.enr.com/economics/historical_indices/building_cost_index_history"/>
      </x:ext>
    </extLst>
  </threadedComment>
  <threadedComment ref="B11" dT="2022-12-05T16:06:00.82" personId="{7223F2EA-A35D-FE46-AC16-0681ECF5150B}" id="{8227AF3A-8127-0C4A-9B44-38DEF30BAA12}">
    <text>Modified by UWSA to extend possible Bid Date range as DFD’s standard template only allowed Bid Dates through June 2026.</text>
  </threadedComment>
  <threadedComment ref="B13" dT="2022-12-05T16:04:46.40" personId="{7223F2EA-A35D-FE46-AC16-0681ECF5150B}" id="{E3589802-CE0B-B741-9456-BDC617ED50A5}">
    <text>Modeled after DFD’s Inflation Estimation Tool worksheet, but allows multiple Base Dates and extends range of possible Bid Dates.</text>
  </threadedComment>
  <threadedComment ref="B17" dT="2022-12-05T16:10:06.13" personId="{7223F2EA-A35D-FE46-AC16-0681ECF5150B}" id="{17A85E52-D7FF-ED4F-9ACA-93DFBAEA535C}">
    <text xml:space="preserve">PBW Revision Date and associated fields primarily created and generated to facilitate easy template updates without having to manually edit each worksheet in the template for a revision date.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microsoft.com/office/2017/10/relationships/threadedComment" Target="../threadedComments/threadedComment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microsoft.com/office/2017/10/relationships/threadedComment" Target="../threadedComments/threadedComment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48DE3-E455-D54E-8E40-C0D45CB5C495}">
  <sheetPr codeName="Sheet1">
    <tabColor theme="2" tint="-0.249977111117893"/>
  </sheetPr>
  <dimension ref="A1:D51"/>
  <sheetViews>
    <sheetView showGridLines="0" view="pageLayout" zoomScaleNormal="100" workbookViewId="0">
      <selection activeCell="B18" sqref="B18"/>
    </sheetView>
  </sheetViews>
  <sheetFormatPr baseColWidth="10" defaultColWidth="10.796875" defaultRowHeight="12"/>
  <cols>
    <col min="1" max="1" width="18" customWidth="1"/>
    <col min="2" max="2" width="9.59765625" customWidth="1"/>
    <col min="3" max="3" width="57.59765625" customWidth="1"/>
    <col min="4" max="4" width="18" customWidth="1"/>
  </cols>
  <sheetData>
    <row r="1" spans="1:4" ht="13">
      <c r="A1" s="63" t="s">
        <v>117</v>
      </c>
      <c r="B1" s="33"/>
      <c r="C1" s="52" t="str">
        <f>(PBW!$B$4)</f>
        <v>X</v>
      </c>
      <c r="D1" s="33"/>
    </row>
    <row r="2" spans="1:4" ht="13">
      <c r="A2" s="63" t="s">
        <v>118</v>
      </c>
      <c r="B2" s="33"/>
      <c r="C2" s="52" t="str">
        <f>(PBW!$B$3)</f>
        <v>X</v>
      </c>
      <c r="D2" s="33"/>
    </row>
    <row r="3" spans="1:4" ht="13">
      <c r="A3" s="33"/>
      <c r="B3" s="227" t="s">
        <v>362</v>
      </c>
      <c r="C3" s="33"/>
      <c r="D3" s="33"/>
    </row>
    <row r="4" spans="1:4" ht="13">
      <c r="A4" s="60">
        <f>(PBW!$H$9)</f>
        <v>45352</v>
      </c>
      <c r="B4" s="392">
        <f>INDEX(ENR!$B$19:$M$99,MATCH(YEAR($A$4),ENR!$A$19:$A$99,1),MATCH(MONTH($A$4),ENR!$B$18:$M$18,1))</f>
        <v>8288.93</v>
      </c>
      <c r="C4" s="33" t="s">
        <v>114</v>
      </c>
      <c r="D4" s="106">
        <f>(PBW!$H$9)</f>
        <v>45352</v>
      </c>
    </row>
    <row r="5" spans="1:4" ht="13">
      <c r="A5" s="60">
        <f>(PBW!$H$10)</f>
        <v>47300</v>
      </c>
      <c r="B5" s="392">
        <f>INDEX(ENR!$B$19:$M$99,MATCH(YEAR($A$5),ENR!$A$19:$A$99,1),MATCH(MONTH($A$5),ENR!$B$18:$M$18,1))</f>
        <v>11405.817660794259</v>
      </c>
      <c r="C5" s="33" t="s">
        <v>246</v>
      </c>
      <c r="D5" s="106">
        <f>(PBW!$H$10)</f>
        <v>47300</v>
      </c>
    </row>
    <row r="6" spans="1:4" ht="13">
      <c r="A6" s="59">
        <f>($B$5/$B$4)</f>
        <v>1.3760301583912831</v>
      </c>
      <c r="B6" s="33"/>
      <c r="C6" s="33" t="s">
        <v>249</v>
      </c>
      <c r="D6" s="122">
        <f>(ENR)</f>
        <v>1.3760301583912831</v>
      </c>
    </row>
    <row r="7" spans="1:4" ht="13">
      <c r="A7" s="64"/>
      <c r="B7" s="33"/>
      <c r="C7" s="33"/>
      <c r="D7" s="33"/>
    </row>
    <row r="8" spans="1:4" ht="13">
      <c r="A8" s="64"/>
      <c r="B8" s="33"/>
      <c r="C8" s="33"/>
      <c r="D8" s="33"/>
    </row>
    <row r="9" spans="1:4" ht="13">
      <c r="A9" s="89" t="s">
        <v>162</v>
      </c>
      <c r="B9" s="33"/>
      <c r="C9" s="33"/>
      <c r="D9" s="112" t="s">
        <v>163</v>
      </c>
    </row>
    <row r="10" spans="1:4" ht="13">
      <c r="A10" s="33"/>
      <c r="B10" s="33"/>
      <c r="C10" s="33"/>
      <c r="D10" s="111"/>
    </row>
    <row r="11" spans="1:4" ht="13">
      <c r="A11" s="51">
        <f>(PBW!$E$129)</f>
        <v>0</v>
      </c>
      <c r="B11" s="33"/>
      <c r="C11" s="33" t="s">
        <v>154</v>
      </c>
      <c r="D11" s="103">
        <f>(PBW!$E$129)</f>
        <v>0</v>
      </c>
    </row>
    <row r="12" spans="1:4" ht="13">
      <c r="A12" s="53">
        <f>(PBW!$E$133)</f>
        <v>0</v>
      </c>
      <c r="B12" s="33"/>
      <c r="C12" s="33" t="s">
        <v>155</v>
      </c>
      <c r="D12" s="104">
        <f>(PBW!$E$133)</f>
        <v>0</v>
      </c>
    </row>
    <row r="13" spans="1:4" ht="13">
      <c r="A13" s="107">
        <f>SUM(A$11:A$12)</f>
        <v>0</v>
      </c>
      <c r="B13" s="33"/>
      <c r="C13" s="33" t="s">
        <v>156</v>
      </c>
      <c r="D13" s="108">
        <f>SUM(D$11:D$12)</f>
        <v>0</v>
      </c>
    </row>
    <row r="14" spans="1:4" ht="13">
      <c r="A14" s="51">
        <f>(PBW!$E$130)</f>
        <v>0</v>
      </c>
      <c r="B14" s="119">
        <f>(PBW!$C$130)</f>
        <v>0</v>
      </c>
      <c r="C14" s="33" t="s">
        <v>107</v>
      </c>
      <c r="D14" s="103">
        <f>(PBW!$E$130)</f>
        <v>0</v>
      </c>
    </row>
    <row r="15" spans="1:4" ht="13">
      <c r="A15" s="51">
        <f>(PBW!$E$131)</f>
        <v>0</v>
      </c>
      <c r="B15" s="119">
        <f>(PBW!$C$131)</f>
        <v>0</v>
      </c>
      <c r="C15" s="33" t="s">
        <v>427</v>
      </c>
      <c r="D15" s="103">
        <f>(PBW!$E$131)</f>
        <v>0</v>
      </c>
    </row>
    <row r="16" spans="1:4" ht="13">
      <c r="A16" s="53">
        <f>(PBW!$E$132)</f>
        <v>0</v>
      </c>
      <c r="B16" s="119">
        <f>(PBW!$C$132)</f>
        <v>0</v>
      </c>
      <c r="C16" s="33" t="s">
        <v>116</v>
      </c>
      <c r="D16" s="104">
        <f>(PBW!$E$132)</f>
        <v>0</v>
      </c>
    </row>
    <row r="17" spans="1:4" ht="13">
      <c r="A17" s="107">
        <f>(PBW!$E$134)</f>
        <v>0</v>
      </c>
      <c r="B17" s="61"/>
      <c r="C17" s="33" t="s">
        <v>157</v>
      </c>
      <c r="D17" s="108">
        <f>(PBW!$E$134)</f>
        <v>0</v>
      </c>
    </row>
    <row r="18" spans="1:4" ht="13">
      <c r="A18" s="53">
        <f>(A$19-A$17)</f>
        <v>0</v>
      </c>
      <c r="B18" s="113">
        <f>($A$6)</f>
        <v>1.3760301583912831</v>
      </c>
      <c r="C18" s="33" t="s">
        <v>250</v>
      </c>
      <c r="D18" s="104">
        <f>ROUND(((PBW!$E$135)-$D$17),-3)</f>
        <v>0</v>
      </c>
    </row>
    <row r="19" spans="1:4" ht="13">
      <c r="A19" s="107">
        <f>ROUND(($A$17*$B$18),-3)</f>
        <v>0</v>
      </c>
      <c r="B19" s="54"/>
      <c r="C19" s="33" t="s">
        <v>158</v>
      </c>
      <c r="D19" s="108">
        <f>(TOTCONST)</f>
        <v>0</v>
      </c>
    </row>
    <row r="20" spans="1:4" ht="13">
      <c r="A20" s="51"/>
      <c r="B20" s="54"/>
      <c r="C20" s="33"/>
      <c r="D20" s="103"/>
    </row>
    <row r="21" spans="1:4" ht="13">
      <c r="A21" s="51"/>
      <c r="B21" s="54"/>
      <c r="C21" s="33"/>
      <c r="D21" s="103"/>
    </row>
    <row r="22" spans="1:4" ht="13">
      <c r="A22" s="51"/>
      <c r="B22" s="54"/>
      <c r="C22" s="33"/>
      <c r="D22" s="103"/>
    </row>
    <row r="23" spans="1:4" ht="13">
      <c r="A23" s="109">
        <f>($A$19)</f>
        <v>0</v>
      </c>
      <c r="B23" s="33"/>
      <c r="C23" s="33" t="s">
        <v>121</v>
      </c>
      <c r="D23" s="110">
        <f>(TOTCONST)</f>
        <v>0</v>
      </c>
    </row>
    <row r="24" spans="1:4" ht="13">
      <c r="A24" s="51"/>
      <c r="B24" s="33"/>
      <c r="C24" s="33"/>
      <c r="D24" s="103"/>
    </row>
    <row r="25" spans="1:4" ht="13">
      <c r="A25" s="51">
        <f>IF($A$23=0,0,ROUND($A$23*$B25,-3))</f>
        <v>0</v>
      </c>
      <c r="B25" s="119" t="str">
        <f>(PBW_Summary!$G$29)</f>
        <v/>
      </c>
      <c r="C25" s="33" t="s">
        <v>108</v>
      </c>
      <c r="D25" s="103">
        <f>(PBW!$H$137)</f>
        <v>0</v>
      </c>
    </row>
    <row r="26" spans="1:4" ht="13">
      <c r="A26" s="53">
        <f>IF($A$23=0,0,ROUND($A$23*$B26,-3))</f>
        <v>0</v>
      </c>
      <c r="B26" s="119" t="str">
        <f>(PBW_Summary!$G$30)</f>
        <v/>
      </c>
      <c r="C26" s="33" t="s">
        <v>109</v>
      </c>
      <c r="D26" s="104">
        <f>(PBW!$H$142)</f>
        <v>0</v>
      </c>
    </row>
    <row r="27" spans="1:4" ht="13">
      <c r="A27" s="109">
        <f>ROUND(SUM(A$25:A$26),-3)</f>
        <v>0</v>
      </c>
      <c r="B27" s="111"/>
      <c r="C27" s="33" t="s">
        <v>110</v>
      </c>
      <c r="D27" s="110">
        <f>ROUND(SUM(D$25:D$26),-3)</f>
        <v>0</v>
      </c>
    </row>
    <row r="28" spans="1:4" ht="13">
      <c r="A28" s="51"/>
      <c r="B28" s="111"/>
      <c r="C28" s="33"/>
      <c r="D28" s="103"/>
    </row>
    <row r="29" spans="1:4" ht="13">
      <c r="A29" s="109">
        <f>IF($A$23=0,0,ROUND($A$23*$B29,-3))</f>
        <v>0</v>
      </c>
      <c r="B29" s="119" t="str">
        <f>(PBW_Summary!$G$32)</f>
        <v/>
      </c>
      <c r="C29" s="33" t="s">
        <v>111</v>
      </c>
      <c r="D29" s="110">
        <f>(PBW!$H$160)</f>
        <v>0</v>
      </c>
    </row>
    <row r="30" spans="1:4" ht="13">
      <c r="A30" s="51"/>
      <c r="B30" s="120"/>
      <c r="C30" s="33"/>
      <c r="D30" s="103"/>
    </row>
    <row r="31" spans="1:4" ht="13">
      <c r="A31" s="109">
        <f>IF($A$23=0,0,ROUND($A$23*$B31,-3))</f>
        <v>0</v>
      </c>
      <c r="B31" s="119" t="str">
        <f>(PBW_Summary!$G$34)</f>
        <v/>
      </c>
      <c r="C31" s="33" t="s">
        <v>112</v>
      </c>
      <c r="D31" s="110">
        <f>(PBW!$H$162)</f>
        <v>0</v>
      </c>
    </row>
    <row r="32" spans="1:4" ht="13">
      <c r="A32" s="51"/>
      <c r="B32" s="120"/>
      <c r="C32" s="33"/>
      <c r="D32" s="103"/>
    </row>
    <row r="33" spans="1:4" ht="13">
      <c r="A33" s="51">
        <f>ROUND((PBW!$G$153),-3)</f>
        <v>0</v>
      </c>
      <c r="B33" s="119" t="str">
        <f>(PBW_Summary!$G$37)</f>
        <v/>
      </c>
      <c r="C33" s="33" t="s">
        <v>159</v>
      </c>
      <c r="D33" s="103">
        <f>(PBW!$G$153)</f>
        <v>0</v>
      </c>
    </row>
    <row r="34" spans="1:4" ht="13">
      <c r="A34" s="53">
        <f>ROUND((PBW!$G$166),-3)</f>
        <v>0</v>
      </c>
      <c r="B34" s="119" t="str">
        <f>(PBW_Summary!$G$38)</f>
        <v/>
      </c>
      <c r="C34" s="33" t="s">
        <v>160</v>
      </c>
      <c r="D34" s="104">
        <f>(PBW!$G$166)</f>
        <v>0</v>
      </c>
    </row>
    <row r="35" spans="1:4" ht="13">
      <c r="A35" s="109">
        <f>ROUND(SUM(A$33:A$34),-3)</f>
        <v>0</v>
      </c>
      <c r="B35" s="121" t="str">
        <f>(PBW_Summary!$G$36)</f>
        <v/>
      </c>
      <c r="C35" s="33" t="s">
        <v>161</v>
      </c>
      <c r="D35" s="110">
        <f>(PBW!$H$164)</f>
        <v>0</v>
      </c>
    </row>
    <row r="36" spans="1:4" ht="14" thickBot="1">
      <c r="A36" s="51"/>
      <c r="B36" s="33"/>
      <c r="C36" s="33"/>
      <c r="D36" s="103"/>
    </row>
    <row r="37" spans="1:4" ht="14" thickBot="1">
      <c r="A37" s="55">
        <f>ROUND(SUM(A$23,A$27,A$29,A$31,A$35),-3)</f>
        <v>0</v>
      </c>
      <c r="B37" s="52"/>
      <c r="C37" s="52" t="s">
        <v>113</v>
      </c>
      <c r="D37" s="105">
        <f>(PBW!$H$174)</f>
        <v>0</v>
      </c>
    </row>
    <row r="38" spans="1:4" ht="13">
      <c r="A38" s="33"/>
      <c r="B38" s="33"/>
      <c r="C38" s="33"/>
      <c r="D38" s="88"/>
    </row>
    <row r="39" spans="1:4" ht="13">
      <c r="A39" s="62" t="s">
        <v>115</v>
      </c>
      <c r="B39" s="33"/>
      <c r="C39" s="33"/>
      <c r="D39" s="88"/>
    </row>
    <row r="40" spans="1:4" ht="13">
      <c r="A40" s="33"/>
      <c r="B40" s="33"/>
      <c r="C40" s="33"/>
      <c r="D40" s="88"/>
    </row>
    <row r="41" spans="1:4" ht="12" customHeight="1">
      <c r="A41" s="562" t="s">
        <v>119</v>
      </c>
      <c r="B41" s="562"/>
      <c r="C41" s="562"/>
      <c r="D41" s="562"/>
    </row>
    <row r="42" spans="1:4" ht="12" customHeight="1">
      <c r="A42" s="562"/>
      <c r="B42" s="562"/>
      <c r="C42" s="562"/>
      <c r="D42" s="562"/>
    </row>
    <row r="43" spans="1:4" ht="12" customHeight="1">
      <c r="A43" s="562"/>
      <c r="B43" s="562"/>
      <c r="C43" s="562"/>
      <c r="D43" s="562"/>
    </row>
    <row r="44" spans="1:4" ht="12" customHeight="1">
      <c r="A44" s="562"/>
      <c r="B44" s="562"/>
      <c r="C44" s="562"/>
      <c r="D44" s="562"/>
    </row>
    <row r="45" spans="1:4" ht="12" customHeight="1">
      <c r="A45" s="562"/>
      <c r="B45" s="562"/>
      <c r="C45" s="562"/>
      <c r="D45" s="562"/>
    </row>
    <row r="46" spans="1:4" ht="12" customHeight="1">
      <c r="A46" s="562"/>
      <c r="B46" s="562"/>
      <c r="C46" s="562"/>
      <c r="D46" s="562"/>
    </row>
    <row r="47" spans="1:4" ht="12" customHeight="1">
      <c r="A47" s="562"/>
      <c r="B47" s="562"/>
      <c r="C47" s="562"/>
      <c r="D47" s="562"/>
    </row>
    <row r="48" spans="1:4" ht="12" customHeight="1">
      <c r="A48" s="562"/>
      <c r="B48" s="562"/>
      <c r="C48" s="562"/>
      <c r="D48" s="562"/>
    </row>
    <row r="49" spans="1:4" ht="12" customHeight="1">
      <c r="A49" s="562"/>
      <c r="B49" s="562"/>
      <c r="C49" s="562"/>
      <c r="D49" s="562"/>
    </row>
    <row r="50" spans="1:4" ht="12" customHeight="1">
      <c r="A50" s="562"/>
      <c r="B50" s="562"/>
      <c r="C50" s="562"/>
      <c r="D50" s="562"/>
    </row>
    <row r="51" spans="1:4" ht="12" customHeight="1">
      <c r="A51" s="562"/>
      <c r="B51" s="562"/>
      <c r="C51" s="562"/>
      <c r="D51" s="562"/>
    </row>
  </sheetData>
  <sheetProtection algorithmName="SHA-512" hashValue="/NIbqFrRcOz7hXvTglenveLN4EGDWdAKupij38QPhYScNgHzyB/EeTgXGqH9kJ3/vnZaHB6bh0d50guKg14apA==" saltValue="L3hkN7lUJPTzUL30zk1jog==" spinCount="100000" sheet="1" selectLockedCells="1"/>
  <mergeCells count="1">
    <mergeCell ref="A41:D51"/>
  </mergeCells>
  <pageMargins left="0.5" right="0.5" top="0.75" bottom="0.5" header="0.25" footer="0.25"/>
  <pageSetup orientation="portrait" horizontalDpi="0" verticalDpi="0"/>
  <headerFooter>
    <oddHeader>&amp;C&amp;"Arial Narrow Bold,Bold"&amp;18&amp;K000000Quick Inflation Factor Update (QIFU) Worksheet</oddHeader>
    <oddFooter>&amp;L&amp;"Arial Narrow,Regular"&amp;8&amp;K000000&amp;D&amp;C&amp;"Arial Narrow,Regular"&amp;8&amp;K000000PBW Quick Inflation Factor Upate (QIDU)&amp;R&amp;"Arial Narrow,Regular"&amp;8&amp;K000000&amp;P of &amp;N</oddFooter>
  </headerFooter>
  <ignoredErrors>
    <ignoredError sqref="B18 D4:D5" unlockedFormula="1"/>
  </ignoredErrors>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DD0F8-F278-F840-A8BD-50DD551F098D}">
  <sheetPr codeName="Sheet9">
    <tabColor rgb="FF961C37"/>
  </sheetPr>
  <dimension ref="A1:D8"/>
  <sheetViews>
    <sheetView showGridLines="0" zoomScaleNormal="100" workbookViewId="0"/>
  </sheetViews>
  <sheetFormatPr baseColWidth="10" defaultColWidth="10.59765625" defaultRowHeight="15"/>
  <cols>
    <col min="1" max="1" width="25" style="230" customWidth="1"/>
    <col min="2" max="3" width="19" style="230" customWidth="1"/>
    <col min="4" max="16384" width="10.59765625" style="230"/>
  </cols>
  <sheetData>
    <row r="1" spans="1:4" ht="18">
      <c r="A1" s="228" t="s">
        <v>258</v>
      </c>
      <c r="B1" s="229"/>
      <c r="C1" s="229"/>
    </row>
    <row r="2" spans="1:4">
      <c r="A2" s="229"/>
      <c r="B2" s="229"/>
      <c r="C2" s="229"/>
    </row>
    <row r="3" spans="1:4">
      <c r="A3" s="231" t="s">
        <v>257</v>
      </c>
      <c r="B3" s="232">
        <f>(PBW_NoInflation!$H$174)</f>
        <v>0</v>
      </c>
      <c r="C3" s="233" t="s">
        <v>213</v>
      </c>
    </row>
    <row r="4" spans="1:4">
      <c r="A4" s="234" t="s">
        <v>114</v>
      </c>
      <c r="B4" s="235">
        <f>(PBW!$H$9)</f>
        <v>45352</v>
      </c>
      <c r="C4" s="339">
        <f>(PBW!$G$9)</f>
        <v>8288.93</v>
      </c>
    </row>
    <row r="5" spans="1:4">
      <c r="A5" s="234" t="s">
        <v>246</v>
      </c>
      <c r="B5" s="235">
        <f>(PBW!$H$10)</f>
        <v>47300</v>
      </c>
      <c r="C5" s="339">
        <f>(PBW!$G$10)</f>
        <v>11405.817660794259</v>
      </c>
    </row>
    <row r="6" spans="1:4">
      <c r="A6" s="234" t="s">
        <v>254</v>
      </c>
      <c r="B6" s="236">
        <f>($C$5/$C$4)</f>
        <v>1.3760301583912831</v>
      </c>
      <c r="C6" s="229"/>
    </row>
    <row r="7" spans="1:4">
      <c r="A7" s="241" t="s">
        <v>255</v>
      </c>
      <c r="B7" s="242">
        <f>ROUND(($B$8-$B$3),-3)</f>
        <v>0</v>
      </c>
      <c r="C7" s="245">
        <f>($B$7-'DFD Inflation Estimation Tool'!$C$6)</f>
        <v>0</v>
      </c>
      <c r="D7" s="246" t="s">
        <v>217</v>
      </c>
    </row>
    <row r="8" spans="1:4">
      <c r="A8" s="237" t="s">
        <v>256</v>
      </c>
      <c r="B8" s="238">
        <f>(PBW!$H$174)</f>
        <v>0</v>
      </c>
      <c r="C8" s="229"/>
    </row>
  </sheetData>
  <sheetProtection algorithmName="SHA-512" hashValue="MMORfXD63vF1rfd/bx8yQJxSANEtjibi8HVprBufzzwzWRRPozyCDpoiZ04bNqPrR9/nAX9Ut0y3DggjQZWICQ==" saltValue="DM/1JDtEYpNQuZhb+MD6Cw==" spinCount="100000" sheet="1" scenarios="1" selectLockedCells="1" selectUnlockedCells="1"/>
  <printOptions horizontalCentered="1"/>
  <pageMargins left="0.25" right="0.25"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C329-AA56-FD48-9187-3E4FC706D597}">
  <sheetPr codeName="Sheet10">
    <tabColor rgb="FFF8BA00"/>
  </sheetPr>
  <dimension ref="A1:B42"/>
  <sheetViews>
    <sheetView showGridLines="0" view="pageLayout" workbookViewId="0">
      <selection sqref="A1:B1"/>
    </sheetView>
  </sheetViews>
  <sheetFormatPr baseColWidth="10" defaultColWidth="8.59765625" defaultRowHeight="12"/>
  <cols>
    <col min="1" max="1" width="5" customWidth="1"/>
    <col min="2" max="2" width="100.796875" customWidth="1"/>
  </cols>
  <sheetData>
    <row r="1" spans="1:2" ht="16">
      <c r="A1" s="615" t="str">
        <f>"CAPITAL PROJECT BUDGET WORKSHEETS"&amp;" "&amp;VERSION</f>
        <v>CAPITAL PROJECT BUDGET WORKSHEETS Rev. 2024-03</v>
      </c>
      <c r="B1" s="615"/>
    </row>
    <row r="2" spans="1:2" ht="13">
      <c r="A2" s="33"/>
      <c r="B2" s="33"/>
    </row>
    <row r="3" spans="1:2" ht="13">
      <c r="A3" s="351" t="s">
        <v>339</v>
      </c>
      <c r="B3" s="350" t="s">
        <v>336</v>
      </c>
    </row>
    <row r="4" spans="1:2" ht="13">
      <c r="A4" s="395">
        <v>1</v>
      </c>
      <c r="B4" s="33" t="s">
        <v>344</v>
      </c>
    </row>
    <row r="5" spans="1:2" ht="13">
      <c r="A5" s="395">
        <v>2</v>
      </c>
      <c r="B5" s="33" t="s">
        <v>345</v>
      </c>
    </row>
    <row r="6" spans="1:2" ht="13">
      <c r="A6" s="402">
        <v>3</v>
      </c>
      <c r="B6" s="33" t="s">
        <v>346</v>
      </c>
    </row>
    <row r="7" spans="1:2" ht="13">
      <c r="A7" s="402">
        <v>4</v>
      </c>
      <c r="B7" s="33" t="s">
        <v>347</v>
      </c>
    </row>
    <row r="8" spans="1:2" ht="13">
      <c r="A8" s="397">
        <v>5</v>
      </c>
      <c r="B8" s="33" t="s">
        <v>348</v>
      </c>
    </row>
    <row r="9" spans="1:2" ht="13">
      <c r="A9" s="397">
        <v>6</v>
      </c>
      <c r="B9" s="33" t="s">
        <v>349</v>
      </c>
    </row>
    <row r="10" spans="1:2" ht="13">
      <c r="A10" s="401">
        <v>7</v>
      </c>
      <c r="B10" s="33" t="s">
        <v>341</v>
      </c>
    </row>
    <row r="11" spans="1:2" ht="13">
      <c r="A11" s="398">
        <v>8</v>
      </c>
      <c r="B11" s="33" t="s">
        <v>350</v>
      </c>
    </row>
    <row r="12" spans="1:2" ht="13">
      <c r="A12" s="398">
        <v>9</v>
      </c>
      <c r="B12" s="33" t="s">
        <v>351</v>
      </c>
    </row>
    <row r="13" spans="1:2" ht="13">
      <c r="A13" s="399">
        <v>10</v>
      </c>
      <c r="B13" s="33" t="s">
        <v>352</v>
      </c>
    </row>
    <row r="14" spans="1:2" ht="13">
      <c r="A14" s="403">
        <v>11</v>
      </c>
      <c r="B14" s="33" t="s">
        <v>353</v>
      </c>
    </row>
    <row r="15" spans="1:2" ht="13">
      <c r="A15" s="403">
        <v>12</v>
      </c>
      <c r="B15" s="33" t="s">
        <v>343</v>
      </c>
    </row>
    <row r="16" spans="1:2" ht="13">
      <c r="A16" s="400">
        <v>13</v>
      </c>
      <c r="B16" s="33" t="s">
        <v>340</v>
      </c>
    </row>
    <row r="17" spans="1:2" ht="13">
      <c r="A17" s="396">
        <v>14</v>
      </c>
      <c r="B17" s="33" t="s">
        <v>342</v>
      </c>
    </row>
    <row r="18" spans="1:2" ht="13">
      <c r="A18" s="33"/>
      <c r="B18" s="33"/>
    </row>
    <row r="19" spans="1:2" ht="13">
      <c r="A19" s="33"/>
      <c r="B19" s="33"/>
    </row>
    <row r="20" spans="1:2" ht="13">
      <c r="A20" s="33"/>
      <c r="B20" s="33"/>
    </row>
    <row r="21" spans="1:2" ht="42">
      <c r="A21" s="279">
        <v>1</v>
      </c>
      <c r="B21" s="280" t="s">
        <v>180</v>
      </c>
    </row>
    <row r="22" spans="1:2" ht="13">
      <c r="A22" s="281"/>
      <c r="B22" s="280"/>
    </row>
    <row r="23" spans="1:2" ht="84">
      <c r="A23" s="279">
        <v>2</v>
      </c>
      <c r="B23" s="280" t="s">
        <v>181</v>
      </c>
    </row>
    <row r="24" spans="1:2" ht="13">
      <c r="A24" s="281"/>
      <c r="B24" s="280"/>
    </row>
    <row r="25" spans="1:2" ht="70">
      <c r="A25" s="279">
        <v>3</v>
      </c>
      <c r="B25" s="280" t="s">
        <v>183</v>
      </c>
    </row>
    <row r="26" spans="1:2" ht="13">
      <c r="A26" s="281"/>
      <c r="B26" s="280"/>
    </row>
    <row r="27" spans="1:2" ht="70">
      <c r="A27" s="281"/>
      <c r="B27" s="282" t="s">
        <v>150</v>
      </c>
    </row>
    <row r="28" spans="1:2" ht="13">
      <c r="A28" s="281"/>
      <c r="B28" s="280"/>
    </row>
    <row r="29" spans="1:2" ht="144" customHeight="1">
      <c r="A29" s="279">
        <v>4</v>
      </c>
      <c r="B29" s="280" t="s">
        <v>259</v>
      </c>
    </row>
    <row r="30" spans="1:2" ht="13">
      <c r="A30" s="281"/>
      <c r="B30" s="280"/>
    </row>
    <row r="31" spans="1:2" ht="90" customHeight="1">
      <c r="A31" s="279">
        <v>5</v>
      </c>
      <c r="B31" s="280" t="s">
        <v>151</v>
      </c>
    </row>
    <row r="32" spans="1:2" ht="13">
      <c r="A32" s="281"/>
      <c r="B32" s="280"/>
    </row>
    <row r="33" spans="1:2" ht="133" customHeight="1">
      <c r="A33" s="279">
        <v>6</v>
      </c>
      <c r="B33" s="280" t="s">
        <v>169</v>
      </c>
    </row>
    <row r="34" spans="1:2" ht="13">
      <c r="A34" s="279"/>
      <c r="B34" s="280"/>
    </row>
    <row r="35" spans="1:2" ht="28">
      <c r="A35" s="279">
        <v>7</v>
      </c>
      <c r="B35" s="280" t="s">
        <v>196</v>
      </c>
    </row>
    <row r="36" spans="1:2" ht="13">
      <c r="A36" s="279"/>
      <c r="B36" s="280"/>
    </row>
    <row r="37" spans="1:2" ht="28">
      <c r="A37" s="279">
        <v>8</v>
      </c>
      <c r="B37" s="280" t="s">
        <v>432</v>
      </c>
    </row>
    <row r="39" spans="1:2" ht="195">
      <c r="A39" s="279"/>
      <c r="B39" s="428" t="s">
        <v>430</v>
      </c>
    </row>
    <row r="40" spans="1:2" ht="195">
      <c r="A40" s="279"/>
      <c r="B40" s="428" t="s">
        <v>431</v>
      </c>
    </row>
    <row r="41" spans="1:2" ht="224">
      <c r="A41" s="279"/>
      <c r="B41" s="280" t="s">
        <v>429</v>
      </c>
    </row>
    <row r="42" spans="1:2" ht="13">
      <c r="A42" s="616"/>
      <c r="B42" s="616"/>
    </row>
  </sheetData>
  <sheetProtection algorithmName="SHA-512" hashValue="2HV4x5AcSWamnQd+hMbeGUNcfiz85cmQcoQjWlxnn0LNdDPgLhpLpUKfYIFbb5cQskLuAu7CgONR19CQOw7v5Q==" saltValue="r498COSRDOb11aRH57OhRQ==" spinCount="100000" sheet="1" scenarios="1" selectLockedCells="1" selectUnlockedCells="1"/>
  <sortState xmlns:xlrd2="http://schemas.microsoft.com/office/spreadsheetml/2017/richdata2" ref="A4:B17">
    <sortCondition ref="A4:A17"/>
  </sortState>
  <mergeCells count="2">
    <mergeCell ref="A1:B1"/>
    <mergeCell ref="A42:B42"/>
  </mergeCells>
  <printOptions horizontalCentered="1"/>
  <pageMargins left="0.25" right="0.25" top="0.5" bottom="0.5" header="0.25" footer="0.25"/>
  <pageSetup orientation="portrait" horizontalDpi="4294967292" verticalDpi="4294967292" r:id="rId1"/>
  <headerFooter>
    <oddFooter>&amp;C&amp;"Arial Narrow,Regular"&amp;8&amp;K000000Read Me</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C7917-FF5D-4144-A8C6-A7B55E8CA637}">
  <sheetPr codeName="Sheet11">
    <tabColor rgb="FFF8BA00"/>
  </sheetPr>
  <dimension ref="A1:G53"/>
  <sheetViews>
    <sheetView showGridLines="0" view="pageLayout" workbookViewId="0">
      <selection sqref="A1:F1"/>
    </sheetView>
  </sheetViews>
  <sheetFormatPr baseColWidth="10" defaultColWidth="9.19921875" defaultRowHeight="12"/>
  <cols>
    <col min="1" max="1" width="32.3984375" customWidth="1"/>
    <col min="2" max="3" width="10.796875" customWidth="1"/>
    <col min="4" max="5" width="8.59765625" customWidth="1"/>
    <col min="6" max="6" width="42.59765625" customWidth="1"/>
  </cols>
  <sheetData>
    <row r="1" spans="1:7" ht="18" customHeight="1">
      <c r="A1" s="617" t="str">
        <f>"NEW CONSTRUCTION COST GUIDELINES"&amp;" "&amp;VERSION</f>
        <v>NEW CONSTRUCTION COST GUIDELINES Rev. 2024-03</v>
      </c>
      <c r="B1" s="618"/>
      <c r="C1" s="618"/>
      <c r="D1" s="619"/>
      <c r="E1" s="618"/>
      <c r="F1" s="620"/>
      <c r="G1" s="90"/>
    </row>
    <row r="2" spans="1:7" ht="12" customHeight="1">
      <c r="A2" s="627" t="s">
        <v>333</v>
      </c>
      <c r="B2" s="629" t="s">
        <v>33</v>
      </c>
      <c r="C2" s="627" t="s">
        <v>334</v>
      </c>
      <c r="D2" s="623" t="s">
        <v>329</v>
      </c>
      <c r="E2" s="624"/>
      <c r="F2" s="627" t="s">
        <v>335</v>
      </c>
      <c r="G2" s="90"/>
    </row>
    <row r="3" spans="1:7" ht="11.5" customHeight="1">
      <c r="A3" s="628"/>
      <c r="B3" s="630"/>
      <c r="C3" s="628"/>
      <c r="D3" s="509" t="s">
        <v>331</v>
      </c>
      <c r="E3" s="510" t="s">
        <v>332</v>
      </c>
      <c r="F3" s="628"/>
      <c r="G3" s="90"/>
    </row>
    <row r="4" spans="1:7" ht="12" customHeight="1">
      <c r="A4" s="91" t="s">
        <v>70</v>
      </c>
      <c r="B4" s="92">
        <v>140000</v>
      </c>
      <c r="C4" s="93">
        <v>65</v>
      </c>
      <c r="D4" s="347">
        <f>ROUNDUP((250*ENR!$AE$15),0)</f>
        <v>260</v>
      </c>
      <c r="E4" s="348">
        <f>ROUNDUP((330*ENR!$AE$15),0)</f>
        <v>344</v>
      </c>
      <c r="F4" s="91"/>
      <c r="G4" s="90"/>
    </row>
    <row r="5" spans="1:7" ht="12" customHeight="1">
      <c r="A5" s="94" t="s">
        <v>7</v>
      </c>
      <c r="B5" s="95">
        <v>140000</v>
      </c>
      <c r="C5" s="96">
        <v>65</v>
      </c>
      <c r="D5" s="345">
        <f>ROUNDUP((250*ENR!$AE$15),0)</f>
        <v>260</v>
      </c>
      <c r="E5" s="346">
        <f>ROUNDUP((275*ENR!$AE$15),0)</f>
        <v>286</v>
      </c>
      <c r="F5" s="94"/>
      <c r="G5" s="90"/>
    </row>
    <row r="6" spans="1:7" ht="12" customHeight="1">
      <c r="A6" s="94"/>
      <c r="B6" s="95"/>
      <c r="C6" s="96"/>
      <c r="D6" s="345"/>
      <c r="E6" s="346"/>
      <c r="F6" s="94"/>
      <c r="G6" s="90"/>
    </row>
    <row r="7" spans="1:7" ht="12" customHeight="1">
      <c r="A7" s="94" t="s">
        <v>8</v>
      </c>
      <c r="B7" s="95">
        <v>10000</v>
      </c>
      <c r="C7" s="96">
        <v>65</v>
      </c>
      <c r="D7" s="345">
        <f>ROUNDUP((495*ENR!$AE$15),0)</f>
        <v>515</v>
      </c>
      <c r="E7" s="346">
        <f>ROUNDUP((770*ENR!$AE$15),0)</f>
        <v>801</v>
      </c>
      <c r="F7" s="94"/>
      <c r="G7" s="90"/>
    </row>
    <row r="8" spans="1:7" ht="12" customHeight="1">
      <c r="A8" s="94"/>
      <c r="B8" s="95"/>
      <c r="C8" s="96"/>
      <c r="D8" s="345"/>
      <c r="E8" s="346"/>
      <c r="F8" s="94"/>
      <c r="G8" s="90"/>
    </row>
    <row r="9" spans="1:7" ht="55" customHeight="1">
      <c r="A9" s="94" t="s">
        <v>164</v>
      </c>
      <c r="B9" s="95">
        <v>30000</v>
      </c>
      <c r="C9" s="96">
        <v>65</v>
      </c>
      <c r="D9" s="345">
        <f>ROUNDUP((290*ENR!$AE$15),0)</f>
        <v>302</v>
      </c>
      <c r="E9" s="346">
        <f>ROUNDUP((390*ENR!$AE$15),0)</f>
        <v>406</v>
      </c>
      <c r="F9" s="97" t="s">
        <v>106</v>
      </c>
      <c r="G9" s="90"/>
    </row>
    <row r="10" spans="1:7" ht="12" customHeight="1">
      <c r="A10" s="94"/>
      <c r="B10" s="95"/>
      <c r="C10" s="96"/>
      <c r="D10" s="345"/>
      <c r="E10" s="346"/>
      <c r="F10" s="94"/>
      <c r="G10" s="90"/>
    </row>
    <row r="11" spans="1:7" ht="12" customHeight="1">
      <c r="A11" s="511" t="s">
        <v>9</v>
      </c>
      <c r="B11" s="512"/>
      <c r="C11" s="513"/>
      <c r="D11" s="514"/>
      <c r="E11" s="515"/>
      <c r="F11" s="516"/>
      <c r="G11" s="90"/>
    </row>
    <row r="12" spans="1:7" ht="12" customHeight="1">
      <c r="A12" s="98" t="s">
        <v>367</v>
      </c>
      <c r="B12" s="95">
        <v>100000</v>
      </c>
      <c r="C12" s="96">
        <v>62</v>
      </c>
      <c r="D12" s="345">
        <f>ROUNDUP((330*ENR!$AE$15),0)</f>
        <v>344</v>
      </c>
      <c r="E12" s="346">
        <f>ROUNDUP((385*ENR!$AE$15),0)</f>
        <v>401</v>
      </c>
      <c r="F12" s="94"/>
      <c r="G12" s="90"/>
    </row>
    <row r="13" spans="1:7" ht="12" customHeight="1">
      <c r="A13" s="98" t="s">
        <v>368</v>
      </c>
      <c r="B13" s="95">
        <v>25000</v>
      </c>
      <c r="C13" s="96">
        <v>60</v>
      </c>
      <c r="D13" s="345">
        <f>ROUNDUP((360*ENR!$AE$15),0)</f>
        <v>375</v>
      </c>
      <c r="E13" s="346">
        <f>ROUNDUP((390*ENR!$AE$15),0)</f>
        <v>406</v>
      </c>
      <c r="F13" s="94"/>
      <c r="G13" s="90"/>
    </row>
    <row r="14" spans="1:7" ht="12" customHeight="1">
      <c r="A14" s="98" t="s">
        <v>369</v>
      </c>
      <c r="B14" s="95">
        <v>25000</v>
      </c>
      <c r="C14" s="96">
        <v>58</v>
      </c>
      <c r="D14" s="345">
        <f>ROUNDUP((490*ENR!$AE$15),0)</f>
        <v>510</v>
      </c>
      <c r="E14" s="346">
        <f>ROUNDUP((710*ENR!$AE$15),0)</f>
        <v>739</v>
      </c>
      <c r="F14" s="94"/>
      <c r="G14" s="90"/>
    </row>
    <row r="15" spans="1:7" ht="12" customHeight="1">
      <c r="A15" s="98" t="s">
        <v>370</v>
      </c>
      <c r="B15" s="95">
        <v>100000</v>
      </c>
      <c r="C15" s="96">
        <v>55</v>
      </c>
      <c r="D15" s="345">
        <f>ROUNDUP((475*ENR!$AE$15),0)</f>
        <v>494</v>
      </c>
      <c r="E15" s="346">
        <f>ROUNDUP((710*ENR!$AE$15),0)</f>
        <v>739</v>
      </c>
      <c r="F15" s="94"/>
      <c r="G15" s="90"/>
    </row>
    <row r="16" spans="1:7" ht="12" customHeight="1">
      <c r="A16" s="98" t="s">
        <v>371</v>
      </c>
      <c r="B16" s="95">
        <v>15000</v>
      </c>
      <c r="C16" s="96">
        <v>55</v>
      </c>
      <c r="D16" s="345">
        <f>ROUNDUP((630*ENR!$AE$15),0)</f>
        <v>656</v>
      </c>
      <c r="E16" s="346">
        <f>ROUNDUP((690*ENR!$AE$15),0)</f>
        <v>718</v>
      </c>
      <c r="F16" s="94"/>
      <c r="G16" s="90"/>
    </row>
    <row r="17" spans="1:7" ht="12" customHeight="1">
      <c r="A17" s="98" t="s">
        <v>372</v>
      </c>
      <c r="B17" s="95">
        <v>25000</v>
      </c>
      <c r="C17" s="96">
        <v>65</v>
      </c>
      <c r="D17" s="345">
        <f>ROUNDUP((295*ENR!$AE$15),0)</f>
        <v>307</v>
      </c>
      <c r="E17" s="346">
        <f>ROUNDUP((390*ENR!$AE$15),0)</f>
        <v>406</v>
      </c>
      <c r="F17" s="94"/>
      <c r="G17" s="90"/>
    </row>
    <row r="18" spans="1:7" ht="12" customHeight="1">
      <c r="A18" s="98" t="s">
        <v>373</v>
      </c>
      <c r="B18" s="95">
        <v>10000</v>
      </c>
      <c r="C18" s="96">
        <v>80</v>
      </c>
      <c r="D18" s="345">
        <f>ROUNDUP((295*ENR!$AE$15),0)</f>
        <v>307</v>
      </c>
      <c r="E18" s="346">
        <f>ROUNDUP((330*ENR!$AE$15),0)</f>
        <v>344</v>
      </c>
      <c r="F18" s="94"/>
      <c r="G18" s="90"/>
    </row>
    <row r="19" spans="1:7" ht="12" customHeight="1">
      <c r="A19" s="98" t="s">
        <v>374</v>
      </c>
      <c r="B19" s="95">
        <v>25000</v>
      </c>
      <c r="C19" s="96">
        <v>80</v>
      </c>
      <c r="D19" s="345">
        <f>ROUNDUP((330*ENR!$AE$15),0)</f>
        <v>344</v>
      </c>
      <c r="E19" s="346">
        <f>ROUNDUP((380*ENR!$AE$15),0)</f>
        <v>396</v>
      </c>
      <c r="F19" s="94"/>
      <c r="G19" s="90"/>
    </row>
    <row r="20" spans="1:7" ht="12" customHeight="1">
      <c r="A20" s="94"/>
      <c r="B20" s="95"/>
      <c r="C20" s="96"/>
      <c r="D20" s="345"/>
      <c r="E20" s="346"/>
      <c r="F20" s="94"/>
      <c r="G20" s="90"/>
    </row>
    <row r="21" spans="1:7" ht="12" customHeight="1">
      <c r="A21" s="94" t="s">
        <v>10</v>
      </c>
      <c r="B21" s="95">
        <v>80000</v>
      </c>
      <c r="C21" s="349">
        <v>65</v>
      </c>
      <c r="D21" s="346">
        <f>ROUNDUP((220*ENR!$AE$15),0)</f>
        <v>229</v>
      </c>
      <c r="E21" s="346">
        <f>ROUNDUP((315*ENR!$AE$15),0)</f>
        <v>328</v>
      </c>
      <c r="F21" s="94"/>
      <c r="G21" s="90"/>
    </row>
    <row r="22" spans="1:7" ht="12" customHeight="1">
      <c r="A22" s="94"/>
      <c r="B22" s="95"/>
      <c r="C22" s="96"/>
      <c r="D22" s="345"/>
      <c r="E22" s="346"/>
      <c r="F22" s="94"/>
      <c r="G22" s="90"/>
    </row>
    <row r="23" spans="1:7" ht="12" customHeight="1">
      <c r="A23" s="511" t="s">
        <v>72</v>
      </c>
      <c r="B23" s="512"/>
      <c r="C23" s="513"/>
      <c r="D23" s="514"/>
      <c r="E23" s="515"/>
      <c r="F23" s="516"/>
      <c r="G23" s="90"/>
    </row>
    <row r="24" spans="1:7" ht="12" customHeight="1">
      <c r="A24" s="98" t="s">
        <v>375</v>
      </c>
      <c r="B24" s="95">
        <v>10000</v>
      </c>
      <c r="C24" s="96">
        <v>65</v>
      </c>
      <c r="D24" s="345">
        <f>ROUNDUP((210*ENR!$AE$15),0)</f>
        <v>219</v>
      </c>
      <c r="E24" s="346">
        <f>ROUNDUP((265*ENR!$AE$15),0)</f>
        <v>276</v>
      </c>
      <c r="F24" s="621" t="s">
        <v>11</v>
      </c>
      <c r="G24" s="90"/>
    </row>
    <row r="25" spans="1:7" ht="12" customHeight="1">
      <c r="A25" s="98" t="s">
        <v>376</v>
      </c>
      <c r="B25" s="95">
        <v>40000</v>
      </c>
      <c r="C25" s="96">
        <v>65</v>
      </c>
      <c r="D25" s="345">
        <f>ROUNDUP((200*ENR!$AE$15),0)</f>
        <v>208</v>
      </c>
      <c r="E25" s="346">
        <f>ROUNDUP((265*ENR!$AE$15),0)</f>
        <v>276</v>
      </c>
      <c r="F25" s="622"/>
      <c r="G25" s="90"/>
    </row>
    <row r="26" spans="1:7" ht="12" customHeight="1">
      <c r="A26" s="94"/>
      <c r="B26" s="95"/>
      <c r="C26" s="96"/>
      <c r="D26" s="345"/>
      <c r="E26" s="346"/>
      <c r="F26" s="94"/>
      <c r="G26" s="90"/>
    </row>
    <row r="27" spans="1:7" ht="12" customHeight="1">
      <c r="A27" s="511" t="s">
        <v>165</v>
      </c>
      <c r="B27" s="512">
        <v>120000</v>
      </c>
      <c r="C27" s="513">
        <v>70</v>
      </c>
      <c r="D27" s="514">
        <f>ROUNDUP((230*ENR!$AE$15),0)</f>
        <v>240</v>
      </c>
      <c r="E27" s="515">
        <f>ROUNDUP((265*ENR!$AE$15),0)</f>
        <v>276</v>
      </c>
      <c r="F27" s="516"/>
      <c r="G27" s="90"/>
    </row>
    <row r="28" spans="1:7" ht="12" customHeight="1">
      <c r="A28" s="98" t="s">
        <v>377</v>
      </c>
      <c r="B28" s="95">
        <v>80000</v>
      </c>
      <c r="C28" s="96">
        <v>78</v>
      </c>
      <c r="D28" s="345">
        <f>ROUNDUP((230*ENR!$AE$15),0)</f>
        <v>240</v>
      </c>
      <c r="E28" s="346">
        <f>ROUNDUP((275*ENR!$AE$15),0)</f>
        <v>286</v>
      </c>
      <c r="F28" s="94"/>
      <c r="G28" s="90"/>
    </row>
    <row r="29" spans="1:7" ht="12" customHeight="1">
      <c r="A29" s="98" t="s">
        <v>378</v>
      </c>
      <c r="B29" s="95">
        <v>45000</v>
      </c>
      <c r="C29" s="96">
        <v>75</v>
      </c>
      <c r="D29" s="345">
        <f>ROUNDUP((220*ENR!$AE$15),0)</f>
        <v>229</v>
      </c>
      <c r="E29" s="346">
        <f>ROUNDUP((250*ENR!$AE$15),0)</f>
        <v>260</v>
      </c>
      <c r="F29" s="94"/>
      <c r="G29" s="90"/>
    </row>
    <row r="30" spans="1:7" ht="12" customHeight="1">
      <c r="A30" s="98" t="s">
        <v>379</v>
      </c>
      <c r="B30" s="95">
        <v>115000</v>
      </c>
      <c r="C30" s="96">
        <v>74</v>
      </c>
      <c r="D30" s="345">
        <f>ROUNDUP((165*ENR!$AE$15),0)</f>
        <v>172</v>
      </c>
      <c r="E30" s="346">
        <f>ROUNDUP((195*ENR!$AE$15),0)</f>
        <v>203</v>
      </c>
      <c r="F30" s="94"/>
      <c r="G30" s="90"/>
    </row>
    <row r="31" spans="1:7" ht="12" customHeight="1">
      <c r="A31" s="98" t="s">
        <v>380</v>
      </c>
      <c r="B31" s="95">
        <v>10000</v>
      </c>
      <c r="C31" s="96">
        <v>78</v>
      </c>
      <c r="D31" s="345">
        <f>ROUNDUP((330*ENR!$AE$15),0)</f>
        <v>344</v>
      </c>
      <c r="E31" s="346">
        <f>ROUNDUP((385*ENR!$AE$15),0)</f>
        <v>401</v>
      </c>
      <c r="F31" s="94"/>
      <c r="G31" s="90"/>
    </row>
    <row r="32" spans="1:7" ht="12" customHeight="1">
      <c r="A32" s="94"/>
      <c r="B32" s="95"/>
      <c r="C32" s="96"/>
      <c r="D32" s="345"/>
      <c r="E32" s="346"/>
      <c r="F32" s="94"/>
      <c r="G32" s="90"/>
    </row>
    <row r="33" spans="1:7" ht="12" customHeight="1">
      <c r="A33" s="511" t="s">
        <v>12</v>
      </c>
      <c r="B33" s="512"/>
      <c r="C33" s="513"/>
      <c r="D33" s="514"/>
      <c r="E33" s="515"/>
      <c r="F33" s="516"/>
      <c r="G33" s="90"/>
    </row>
    <row r="34" spans="1:7" ht="12" customHeight="1">
      <c r="A34" s="99" t="s">
        <v>381</v>
      </c>
      <c r="B34" s="95">
        <v>160000</v>
      </c>
      <c r="C34" s="96">
        <v>80</v>
      </c>
      <c r="D34" s="345">
        <f>ROUNDUP((260*ENR!$AE$15),0)</f>
        <v>271</v>
      </c>
      <c r="E34" s="346">
        <f>ROUNDUP((350*ENR!$AE$15),0)</f>
        <v>364</v>
      </c>
      <c r="F34" s="94"/>
      <c r="G34" s="90"/>
    </row>
    <row r="35" spans="1:7" ht="12" customHeight="1">
      <c r="A35" s="99" t="s">
        <v>382</v>
      </c>
      <c r="B35" s="95">
        <v>110000</v>
      </c>
      <c r="C35" s="96">
        <v>80</v>
      </c>
      <c r="D35" s="345">
        <f>ROUNDUP((260*ENR!$AE$15),0)</f>
        <v>271</v>
      </c>
      <c r="E35" s="346">
        <f>ROUNDUP((350*ENR!$AE$15),0)</f>
        <v>364</v>
      </c>
      <c r="F35" s="94" t="s">
        <v>152</v>
      </c>
      <c r="G35" s="90"/>
    </row>
    <row r="36" spans="1:7" ht="12" customHeight="1">
      <c r="A36" s="94"/>
      <c r="B36" s="95"/>
      <c r="C36" s="96"/>
      <c r="D36" s="345"/>
      <c r="E36" s="346"/>
      <c r="F36" s="94"/>
      <c r="G36" s="90"/>
    </row>
    <row r="37" spans="1:7" ht="12" customHeight="1">
      <c r="A37" s="94" t="s">
        <v>13</v>
      </c>
      <c r="B37" s="95">
        <v>100000</v>
      </c>
      <c r="C37" s="96"/>
      <c r="D37" s="345">
        <f>ROUNDUP((330*ENR!$AE$15),0)</f>
        <v>344</v>
      </c>
      <c r="E37" s="346">
        <f>ROUNDUP((370*ENR!$AE$15),0)</f>
        <v>385</v>
      </c>
      <c r="F37" s="94"/>
      <c r="G37" s="90"/>
    </row>
    <row r="38" spans="1:7" ht="12" customHeight="1">
      <c r="A38" s="94"/>
      <c r="B38" s="95"/>
      <c r="C38" s="96"/>
      <c r="D38" s="345"/>
      <c r="E38" s="346"/>
      <c r="F38" s="94"/>
      <c r="G38" s="90"/>
    </row>
    <row r="39" spans="1:7" ht="12" customHeight="1">
      <c r="A39" s="511" t="s">
        <v>166</v>
      </c>
      <c r="B39" s="512"/>
      <c r="C39" s="513"/>
      <c r="D39" s="514"/>
      <c r="E39" s="515"/>
      <c r="F39" s="516"/>
      <c r="G39" s="90"/>
    </row>
    <row r="40" spans="1:7" ht="12" customHeight="1">
      <c r="A40" s="100" t="s">
        <v>383</v>
      </c>
      <c r="B40" s="95">
        <v>35000</v>
      </c>
      <c r="C40" s="96">
        <v>85</v>
      </c>
      <c r="D40" s="345">
        <f>ROUNDUP((140*ENR!$AE$15),0)</f>
        <v>146</v>
      </c>
      <c r="E40" s="346">
        <f>ROUNDUP((165*ENR!$AE$15),0)</f>
        <v>172</v>
      </c>
      <c r="F40" s="94" t="s">
        <v>14</v>
      </c>
      <c r="G40" s="90"/>
    </row>
    <row r="41" spans="1:7" ht="12" customHeight="1">
      <c r="A41" s="100" t="s">
        <v>384</v>
      </c>
      <c r="B41" s="95">
        <v>15000</v>
      </c>
      <c r="C41" s="96">
        <v>90</v>
      </c>
      <c r="D41" s="345">
        <f>ROUNDUP((110*ENR!$AE$15),0)</f>
        <v>115</v>
      </c>
      <c r="E41" s="346">
        <f>ROUNDUP((140*ENR!$AE$15),0)</f>
        <v>146</v>
      </c>
      <c r="F41" s="94" t="s">
        <v>15</v>
      </c>
      <c r="G41" s="90"/>
    </row>
    <row r="42" spans="1:7" ht="12" customHeight="1">
      <c r="A42" s="94"/>
      <c r="B42" s="95"/>
      <c r="C42" s="96"/>
      <c r="D42" s="345"/>
      <c r="E42" s="346"/>
      <c r="F42" s="94"/>
      <c r="G42" s="90"/>
    </row>
    <row r="43" spans="1:7" ht="12" customHeight="1">
      <c r="A43" s="94" t="s">
        <v>167</v>
      </c>
      <c r="B43" s="95">
        <v>25000</v>
      </c>
      <c r="C43" s="96">
        <v>85</v>
      </c>
      <c r="D43" s="345">
        <f>ROUNDUP((165*ENR!$AE$15),0)</f>
        <v>172</v>
      </c>
      <c r="E43" s="346">
        <f>ROUNDUP((195*ENR!$AE$15),0)</f>
        <v>203</v>
      </c>
      <c r="F43" s="94"/>
      <c r="G43" s="90"/>
    </row>
    <row r="44" spans="1:7" ht="12" customHeight="1">
      <c r="A44" s="94"/>
      <c r="B44" s="95"/>
      <c r="C44" s="96"/>
      <c r="D44" s="345"/>
      <c r="E44" s="346"/>
      <c r="F44" s="94"/>
      <c r="G44" s="90"/>
    </row>
    <row r="45" spans="1:7" ht="12" customHeight="1">
      <c r="A45" s="511" t="s">
        <v>168</v>
      </c>
      <c r="B45" s="512"/>
      <c r="C45" s="513"/>
      <c r="D45" s="514"/>
      <c r="E45" s="515"/>
      <c r="F45" s="516"/>
      <c r="G45" s="90"/>
    </row>
    <row r="46" spans="1:7" ht="12" customHeight="1">
      <c r="A46" s="99" t="s">
        <v>385</v>
      </c>
      <c r="B46" s="95">
        <v>4000</v>
      </c>
      <c r="C46" s="96">
        <v>95</v>
      </c>
      <c r="D46" s="345">
        <f>ROUNDUP((85*ENR!$AE$15),0)</f>
        <v>89</v>
      </c>
      <c r="E46" s="346">
        <f>ROUNDUP((115*ENR!$AE$15),0)</f>
        <v>120</v>
      </c>
      <c r="F46" s="94"/>
      <c r="G46" s="90"/>
    </row>
    <row r="47" spans="1:7" ht="12" customHeight="1">
      <c r="A47" s="99" t="s">
        <v>386</v>
      </c>
      <c r="B47" s="95">
        <v>4000</v>
      </c>
      <c r="C47" s="96">
        <v>95</v>
      </c>
      <c r="D47" s="345">
        <f>ROUNDUP((110*ENR!$AE$15),0)</f>
        <v>115</v>
      </c>
      <c r="E47" s="346">
        <f>ROUNDUP((150*ENR!$AE$15),0)</f>
        <v>156</v>
      </c>
      <c r="F47" s="94"/>
      <c r="G47" s="90"/>
    </row>
    <row r="48" spans="1:7" ht="12" customHeight="1">
      <c r="A48" s="415"/>
      <c r="B48" s="415"/>
      <c r="C48" s="416"/>
      <c r="D48" s="417"/>
      <c r="E48" s="418"/>
      <c r="F48" s="415"/>
      <c r="G48" s="90"/>
    </row>
    <row r="49" spans="1:7" ht="12" customHeight="1">
      <c r="A49" s="517" t="s">
        <v>16</v>
      </c>
      <c r="B49" s="518" t="s">
        <v>321</v>
      </c>
      <c r="C49" s="519"/>
      <c r="D49" s="625" t="s">
        <v>330</v>
      </c>
      <c r="E49" s="626"/>
      <c r="F49" s="520"/>
      <c r="G49" s="90"/>
    </row>
    <row r="50" spans="1:7" ht="12" customHeight="1">
      <c r="A50" s="419" t="s">
        <v>387</v>
      </c>
      <c r="B50" s="420" t="s">
        <v>17</v>
      </c>
      <c r="C50" s="421">
        <v>55</v>
      </c>
      <c r="D50" s="345">
        <f>ROUNDUP((17500*ENR!$AE$15),-2)</f>
        <v>18200</v>
      </c>
      <c r="E50" s="346">
        <f>ROUNDUP((22600*ENR!$AE$15),-2)</f>
        <v>23500</v>
      </c>
      <c r="F50" s="422"/>
      <c r="G50" s="90"/>
    </row>
    <row r="51" spans="1:7" ht="12" customHeight="1">
      <c r="A51" s="99" t="s">
        <v>388</v>
      </c>
      <c r="B51" s="414" t="s">
        <v>18</v>
      </c>
      <c r="C51" s="96">
        <v>52</v>
      </c>
      <c r="D51" s="345">
        <f>ROUNDUP((32000*ENR!$AE$15),-2)</f>
        <v>33300</v>
      </c>
      <c r="E51" s="346">
        <f>ROUNDUP((49500*ENR!$AE$15),-2)</f>
        <v>51500</v>
      </c>
      <c r="F51" s="94"/>
      <c r="G51" s="90"/>
    </row>
    <row r="52" spans="1:7" ht="12" customHeight="1">
      <c r="A52" s="99" t="s">
        <v>389</v>
      </c>
      <c r="B52" s="414" t="s">
        <v>19</v>
      </c>
      <c r="C52" s="96"/>
      <c r="D52" s="345">
        <f>ROUNDUP((4300*ENR!$AE$15),-2)</f>
        <v>4500</v>
      </c>
      <c r="E52" s="346">
        <f>ROUNDUP((6850*ENR!$AE$15),-2)</f>
        <v>7200</v>
      </c>
      <c r="F52" s="94"/>
      <c r="G52" s="90"/>
    </row>
    <row r="53" spans="1:7" ht="12" customHeight="1">
      <c r="A53" s="101"/>
      <c r="B53" s="101"/>
      <c r="C53" s="101"/>
      <c r="D53" s="344"/>
      <c r="E53" s="102"/>
      <c r="F53" s="101"/>
    </row>
  </sheetData>
  <sheetProtection algorithmName="SHA-512" hashValue="qwfNBObYyT9FLNBrzja9OadEnM2npumNhpbOsOVDdvPtL9KB2TX/W1nOQYPTwHnJOzPf2t9Z9i92NrC90N8ZDw==" saltValue="KIeAVFshYHMUmlGqS06Q0w==" spinCount="100000" sheet="1" scenarios="1" selectLockedCells="1" selectUnlockedCells="1"/>
  <mergeCells count="8">
    <mergeCell ref="A1:F1"/>
    <mergeCell ref="F24:F25"/>
    <mergeCell ref="D2:E2"/>
    <mergeCell ref="D49:E49"/>
    <mergeCell ref="A2:A3"/>
    <mergeCell ref="B2:B3"/>
    <mergeCell ref="C2:C3"/>
    <mergeCell ref="F2:F3"/>
  </mergeCells>
  <printOptions horizontalCentered="1"/>
  <pageMargins left="0.25" right="0.25" top="0.5" bottom="0.5" header="0.25" footer="0.25"/>
  <pageSetup orientation="portrait" horizontalDpi="4294967292" verticalDpi="4294967292" r:id="rId1"/>
  <headerFooter>
    <oddFooter>&amp;L&amp;"Arial Narrow,Regular"&amp;8&amp;K000000&amp;D&amp;C&amp;"Arial Narrow,Regular"&amp;8&amp;K000000Construction Cost Guidelines&amp;R&amp;"Arial Narrow,Regular"&amp;8&amp;K000000page &amp;P of &amp;N</oddFooter>
  </headerFooter>
  <ignoredErrors>
    <ignoredError sqref="D6:E6 D8:E8 D10:E11 D20:E20 D22:E23 D26:E26 D32:E33 D36:E36 D38:E39 D42:E42 D44:E45 D48:E48 E4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47F4-EBF5-5D43-AA66-0BA93C1D7BF1}">
  <sheetPr>
    <tabColor rgb="FF00B050"/>
  </sheetPr>
  <dimension ref="A1:H186"/>
  <sheetViews>
    <sheetView showGridLines="0" view="pageLayout" zoomScaleNormal="100" workbookViewId="0">
      <selection activeCell="B3" sqref="B3:E3"/>
    </sheetView>
  </sheetViews>
  <sheetFormatPr baseColWidth="10" defaultColWidth="8.19921875" defaultRowHeight="12"/>
  <cols>
    <col min="1" max="1" width="20" customWidth="1"/>
    <col min="2" max="2" width="18" customWidth="1"/>
    <col min="3" max="3" width="11.796875" customWidth="1"/>
    <col min="4" max="4" width="13.59765625" customWidth="1"/>
    <col min="5" max="5" width="11.796875" customWidth="1"/>
    <col min="6" max="6" width="10" customWidth="1"/>
    <col min="7" max="8" width="13.59765625" customWidth="1"/>
  </cols>
  <sheetData>
    <row r="1" spans="1:8" ht="13">
      <c r="A1" s="429" t="s">
        <v>433</v>
      </c>
      <c r="B1" s="430"/>
      <c r="C1" s="430"/>
      <c r="D1" s="430"/>
      <c r="E1" s="430"/>
      <c r="F1" s="430"/>
      <c r="G1" s="430"/>
      <c r="H1" s="431" t="str">
        <f>"PROJECT BUDGET WORKSHEET GUIDE &amp; SAMPLE"&amp;" "&amp;VERSION</f>
        <v>PROJECT BUDGET WORKSHEET GUIDE &amp; SAMPLE Rev. 2024-03</v>
      </c>
    </row>
    <row r="2" spans="1:8" ht="6" customHeight="1">
      <c r="A2" s="5"/>
      <c r="B2" s="5"/>
      <c r="C2" s="5"/>
      <c r="D2" s="5"/>
      <c r="E2" s="5"/>
      <c r="F2" s="1" t="s">
        <v>20</v>
      </c>
      <c r="G2" s="5"/>
      <c r="H2" s="5"/>
    </row>
    <row r="3" spans="1:8">
      <c r="A3" s="2" t="s">
        <v>21</v>
      </c>
      <c r="B3" s="588" t="s">
        <v>452</v>
      </c>
      <c r="C3" s="588"/>
      <c r="D3" s="588"/>
      <c r="E3" s="588"/>
      <c r="F3" s="1" t="s">
        <v>171</v>
      </c>
      <c r="G3" s="5"/>
      <c r="H3" s="496">
        <v>44896</v>
      </c>
    </row>
    <row r="4" spans="1:8">
      <c r="A4" s="2" t="s">
        <v>101</v>
      </c>
      <c r="B4" s="461" t="s">
        <v>448</v>
      </c>
      <c r="C4" s="635"/>
      <c r="D4" s="635"/>
      <c r="E4" s="635"/>
      <c r="F4" s="1" t="s">
        <v>172</v>
      </c>
      <c r="G4" s="8"/>
      <c r="H4" s="497" t="s">
        <v>4</v>
      </c>
    </row>
    <row r="5" spans="1:8" ht="13" thickBot="1">
      <c r="A5" s="11" t="s">
        <v>266</v>
      </c>
      <c r="B5" s="461" t="s">
        <v>100</v>
      </c>
      <c r="C5" s="635"/>
      <c r="D5" s="635"/>
      <c r="E5" s="635"/>
      <c r="F5" s="5" t="s">
        <v>52</v>
      </c>
      <c r="G5" s="5"/>
      <c r="H5" s="498" t="s">
        <v>4</v>
      </c>
    </row>
    <row r="6" spans="1:8" ht="13" thickBot="1">
      <c r="A6" s="2" t="s">
        <v>102</v>
      </c>
      <c r="B6" s="461" t="s">
        <v>451</v>
      </c>
      <c r="C6" s="635"/>
      <c r="D6" s="635"/>
      <c r="E6" s="635"/>
      <c r="F6" s="2" t="s">
        <v>79</v>
      </c>
      <c r="G6" s="5"/>
      <c r="H6" s="226">
        <f>VALUE($H$174)</f>
        <v>184254000</v>
      </c>
    </row>
    <row r="7" spans="1:8" ht="6" customHeight="1">
      <c r="A7" s="5"/>
      <c r="B7" s="5"/>
      <c r="C7" s="635"/>
      <c r="D7" s="635"/>
      <c r="E7" s="635"/>
      <c r="F7" s="5"/>
      <c r="G7" s="5"/>
      <c r="H7" s="5"/>
    </row>
    <row r="8" spans="1:8">
      <c r="A8" s="2" t="s">
        <v>23</v>
      </c>
      <c r="B8" s="5"/>
      <c r="C8" s="635"/>
      <c r="D8" s="635"/>
      <c r="E8" s="635"/>
      <c r="F8" s="5"/>
      <c r="G8" s="116" t="s">
        <v>173</v>
      </c>
      <c r="H8" s="114" t="s">
        <v>174</v>
      </c>
    </row>
    <row r="9" spans="1:8">
      <c r="A9" s="1" t="s">
        <v>24</v>
      </c>
      <c r="B9" s="494">
        <f>($B$25)</f>
        <v>16665</v>
      </c>
      <c r="C9" s="5"/>
      <c r="D9" s="5"/>
      <c r="E9" s="5"/>
      <c r="F9" s="1" t="s">
        <v>61</v>
      </c>
      <c r="G9" s="311">
        <f>INDEX(ENR!$B$19:$M$99,MATCH(YEAR($H$9),ENR!$A$19:$A$99,1),MATCH(MONTH($H$9),ENR!$B$18:$M$18,1))</f>
        <v>7971.96</v>
      </c>
      <c r="H9" s="499">
        <v>44896</v>
      </c>
    </row>
    <row r="10" spans="1:8">
      <c r="A10" s="1" t="s">
        <v>25</v>
      </c>
      <c r="B10" s="495">
        <f>($D$25)</f>
        <v>25100</v>
      </c>
      <c r="C10" s="58">
        <f>IF(ISERR($B$9/$B$10),0,($B$9/$B$10))</f>
        <v>0.66394422310756973</v>
      </c>
      <c r="D10" s="5" t="s">
        <v>57</v>
      </c>
      <c r="E10" s="125" t="str">
        <f>IF($H$10&lt;$H$9,"ERROR!","")</f>
        <v/>
      </c>
      <c r="F10" s="1" t="s">
        <v>281</v>
      </c>
      <c r="G10" s="311">
        <f>INDEX(ENR!$B$19:$M$99,MATCH(YEAR($H$10),ENR!$A$19:$A$99,1),MATCH(MONTH($H$10),ENR!$B$18:$M$18,1))</f>
        <v>10426.470356751912</v>
      </c>
      <c r="H10" s="500">
        <v>46753</v>
      </c>
    </row>
    <row r="11" spans="1:8">
      <c r="A11" s="1"/>
      <c r="B11" s="3"/>
      <c r="C11" s="4"/>
      <c r="D11" s="5"/>
      <c r="E11" s="5"/>
      <c r="F11" s="1" t="s">
        <v>252</v>
      </c>
      <c r="G11" s="5"/>
      <c r="H11" s="118">
        <f>($G$10/$G$9)</f>
        <v>1.3078929594167448</v>
      </c>
    </row>
    <row r="12" spans="1:8">
      <c r="A12" s="2" t="s">
        <v>26</v>
      </c>
      <c r="B12" s="9"/>
      <c r="C12" s="8"/>
      <c r="D12" s="5"/>
      <c r="E12" s="117" t="str">
        <f>IF($H$12&lt;&gt;$H$11,"WARNING! ENR ESCALATION VALUES DO NOT MATCH!","")</f>
        <v/>
      </c>
      <c r="F12" s="1" t="s">
        <v>253</v>
      </c>
      <c r="G12" s="5"/>
      <c r="H12" s="338">
        <f>($H$11)</f>
        <v>1.3078929594167448</v>
      </c>
    </row>
    <row r="13" spans="1:8">
      <c r="A13" s="1" t="s">
        <v>28</v>
      </c>
      <c r="B13" s="494">
        <f>($D$37)</f>
        <v>50800</v>
      </c>
      <c r="C13" s="8"/>
      <c r="D13" s="5"/>
      <c r="E13" s="5"/>
      <c r="F13" s="1" t="s">
        <v>182</v>
      </c>
      <c r="G13" s="5"/>
      <c r="H13" s="118">
        <f>($H$12-$H$11)</f>
        <v>0</v>
      </c>
    </row>
    <row r="14" spans="1:8">
      <c r="A14" s="1" t="s">
        <v>29</v>
      </c>
      <c r="B14" s="495">
        <v>0</v>
      </c>
      <c r="C14" s="58">
        <f>IF(ISERR($B$13/$B$14),0,($B$13/$B$14))</f>
        <v>0</v>
      </c>
      <c r="D14" s="5" t="s">
        <v>58</v>
      </c>
      <c r="E14" s="5"/>
      <c r="F14" s="1" t="s">
        <v>170</v>
      </c>
      <c r="G14" s="115" t="str">
        <f>IF($H$174&gt;5000,((VLOOKUP($H$174,DURATION,3))/365)*(12)&amp;" months","")</f>
        <v>42 months</v>
      </c>
      <c r="H14" s="36">
        <f>IF($H$174&gt;5000,((VLOOKUP($H$174,DURATION,3))+$H$10),"")</f>
        <v>48030.5</v>
      </c>
    </row>
    <row r="15" spans="1:8" ht="6" customHeight="1" thickBot="1">
      <c r="A15" s="10"/>
      <c r="B15" s="10"/>
      <c r="C15" s="10"/>
      <c r="D15" s="10"/>
      <c r="E15" s="10"/>
      <c r="F15" s="10"/>
      <c r="G15" s="10"/>
      <c r="H15" s="10"/>
    </row>
    <row r="16" spans="1:8">
      <c r="A16" s="2" t="s">
        <v>48</v>
      </c>
      <c r="B16" s="11"/>
      <c r="C16" s="5"/>
      <c r="D16" s="5"/>
      <c r="E16" s="5"/>
      <c r="F16" s="5"/>
      <c r="G16" s="12"/>
      <c r="H16" s="5"/>
    </row>
    <row r="17" spans="1:8">
      <c r="A17" s="1" t="s">
        <v>30</v>
      </c>
      <c r="B17" s="12" t="s">
        <v>31</v>
      </c>
      <c r="C17" s="12" t="s">
        <v>32</v>
      </c>
      <c r="D17" s="14" t="s">
        <v>33</v>
      </c>
      <c r="E17" s="12" t="s">
        <v>34</v>
      </c>
      <c r="F17" s="14"/>
      <c r="G17" s="14" t="s">
        <v>1</v>
      </c>
      <c r="H17" s="5"/>
    </row>
    <row r="18" spans="1:8">
      <c r="A18" s="478" t="s">
        <v>69</v>
      </c>
      <c r="B18" s="479">
        <v>1111</v>
      </c>
      <c r="C18" s="480">
        <v>0.75</v>
      </c>
      <c r="D18" s="432">
        <f>IF($B18&gt;0,ROUND($B18/$C18,-2),0)</f>
        <v>1500</v>
      </c>
      <c r="E18" s="490">
        <v>111</v>
      </c>
      <c r="F18" s="433"/>
      <c r="G18" s="434">
        <f>ROUND($D18*$E18,-2)</f>
        <v>166500</v>
      </c>
      <c r="H18" s="5"/>
    </row>
    <row r="19" spans="1:8">
      <c r="A19" s="481" t="s">
        <v>70</v>
      </c>
      <c r="B19" s="482">
        <v>2222</v>
      </c>
      <c r="C19" s="483">
        <v>0.6</v>
      </c>
      <c r="D19" s="37">
        <f>IF($B19&gt;0,ROUND($B19/$C19,-2),0)</f>
        <v>3700</v>
      </c>
      <c r="E19" s="491">
        <v>222</v>
      </c>
      <c r="F19" s="15"/>
      <c r="G19" s="32">
        <f>ROUND($D19*$E19,-2)</f>
        <v>821400</v>
      </c>
      <c r="H19" s="5"/>
    </row>
    <row r="20" spans="1:8">
      <c r="A20" s="481" t="s">
        <v>71</v>
      </c>
      <c r="B20" s="482">
        <v>3333</v>
      </c>
      <c r="C20" s="483">
        <v>0.52</v>
      </c>
      <c r="D20" s="37">
        <f t="shared" ref="D20:D22" si="0">IF($B20&gt;0,ROUND($B20/$C20,-2),0)</f>
        <v>6400</v>
      </c>
      <c r="E20" s="491">
        <v>333</v>
      </c>
      <c r="F20" s="15"/>
      <c r="G20" s="32">
        <f t="shared" ref="G20:G22" si="1">ROUND($D20*$E20,-2)</f>
        <v>2131200</v>
      </c>
      <c r="H20" s="5"/>
    </row>
    <row r="21" spans="1:8">
      <c r="A21" s="484" t="s">
        <v>72</v>
      </c>
      <c r="B21" s="485">
        <v>4444</v>
      </c>
      <c r="C21" s="486">
        <v>0.67</v>
      </c>
      <c r="D21" s="435">
        <f t="shared" si="0"/>
        <v>6600</v>
      </c>
      <c r="E21" s="492">
        <v>444</v>
      </c>
      <c r="F21" s="436"/>
      <c r="G21" s="437">
        <f t="shared" si="1"/>
        <v>2930400</v>
      </c>
      <c r="H21" s="5"/>
    </row>
    <row r="22" spans="1:8">
      <c r="A22" s="481" t="s">
        <v>73</v>
      </c>
      <c r="B22" s="482">
        <v>5555</v>
      </c>
      <c r="C22" s="483">
        <v>0.8</v>
      </c>
      <c r="D22" s="37">
        <f t="shared" si="0"/>
        <v>6900</v>
      </c>
      <c r="E22" s="491">
        <v>555</v>
      </c>
      <c r="F22" s="15"/>
      <c r="G22" s="32">
        <f t="shared" si="1"/>
        <v>3829500</v>
      </c>
      <c r="H22" s="5"/>
    </row>
    <row r="23" spans="1:8">
      <c r="A23" s="481" t="s">
        <v>51</v>
      </c>
      <c r="B23" s="482">
        <v>0</v>
      </c>
      <c r="C23" s="483">
        <v>0</v>
      </c>
      <c r="D23" s="37">
        <f>IF($B23&gt;0,ROUND($B23/$C23,-2),0)</f>
        <v>0</v>
      </c>
      <c r="E23" s="491">
        <v>0</v>
      </c>
      <c r="F23" s="15"/>
      <c r="G23" s="32">
        <f>ROUND($D23*$E23,-2)</f>
        <v>0</v>
      </c>
      <c r="H23" s="5"/>
    </row>
    <row r="24" spans="1:8">
      <c r="A24" s="487" t="s">
        <v>51</v>
      </c>
      <c r="B24" s="488">
        <v>0</v>
      </c>
      <c r="C24" s="489">
        <v>0</v>
      </c>
      <c r="D24" s="432">
        <f>IF($B24&gt;0,ROUND($B24/$C24,-2),0)</f>
        <v>0</v>
      </c>
      <c r="E24" s="493">
        <v>0</v>
      </c>
      <c r="F24" s="433"/>
      <c r="G24" s="434">
        <f>ROUND($D24*$E24,-2)</f>
        <v>0</v>
      </c>
      <c r="H24" s="5"/>
    </row>
    <row r="25" spans="1:8">
      <c r="A25" s="5"/>
      <c r="B25" s="28">
        <f>SUM(B$18:B$24)</f>
        <v>16665</v>
      </c>
      <c r="C25" s="3"/>
      <c r="D25" s="28">
        <f>SUM(D$18:D$24)</f>
        <v>25100</v>
      </c>
      <c r="E25" s="32"/>
      <c r="F25" s="1" t="s">
        <v>35</v>
      </c>
      <c r="G25" s="32">
        <f>ROUND(SUM(G$18:G$24),-3)</f>
        <v>9879000</v>
      </c>
      <c r="H25" s="5"/>
    </row>
    <row r="26" spans="1:8">
      <c r="A26" s="5" t="s">
        <v>138</v>
      </c>
      <c r="B26" s="3"/>
      <c r="C26" s="3"/>
      <c r="D26" s="3"/>
      <c r="E26" s="3"/>
      <c r="F26" s="1"/>
      <c r="G26" s="3"/>
      <c r="H26" s="73">
        <f>($G$25)</f>
        <v>9879000</v>
      </c>
    </row>
    <row r="27" spans="1:8" ht="6" customHeight="1">
      <c r="A27" s="5"/>
      <c r="B27" s="3"/>
      <c r="C27" s="3"/>
      <c r="D27" s="3"/>
      <c r="E27" s="3"/>
      <c r="F27" s="1"/>
      <c r="G27" s="3"/>
      <c r="H27" s="16"/>
    </row>
    <row r="28" spans="1:8">
      <c r="A28" s="2" t="s">
        <v>49</v>
      </c>
      <c r="B28" s="11"/>
      <c r="C28" s="5"/>
      <c r="D28" s="5"/>
      <c r="E28" s="5"/>
      <c r="F28" s="5"/>
      <c r="G28" s="12"/>
      <c r="H28" s="5"/>
    </row>
    <row r="29" spans="1:8">
      <c r="A29" s="1" t="s">
        <v>30</v>
      </c>
      <c r="B29" s="12" t="s">
        <v>31</v>
      </c>
      <c r="C29" s="12" t="s">
        <v>32</v>
      </c>
      <c r="D29" s="14" t="s">
        <v>33</v>
      </c>
      <c r="E29" s="12" t="s">
        <v>34</v>
      </c>
      <c r="F29" s="14"/>
      <c r="G29" s="14" t="s">
        <v>1</v>
      </c>
      <c r="H29" s="5"/>
    </row>
    <row r="30" spans="1:8">
      <c r="A30" s="478" t="s">
        <v>70</v>
      </c>
      <c r="B30" s="479">
        <v>6666</v>
      </c>
      <c r="C30" s="480">
        <v>0.6</v>
      </c>
      <c r="D30" s="432">
        <f>IF($B30&gt;0,ROUND($B30/$C30,-2),0)</f>
        <v>11100</v>
      </c>
      <c r="E30" s="490">
        <v>666</v>
      </c>
      <c r="F30" s="433"/>
      <c r="G30" s="434">
        <f>ROUND($D30*$E30,-2)</f>
        <v>7392600</v>
      </c>
      <c r="H30" s="5"/>
    </row>
    <row r="31" spans="1:8">
      <c r="A31" s="481" t="s">
        <v>71</v>
      </c>
      <c r="B31" s="482">
        <v>7777</v>
      </c>
      <c r="C31" s="483">
        <v>0.52</v>
      </c>
      <c r="D31" s="37">
        <f>IF($B31&gt;0,ROUND($B31/$C31,-2),0)</f>
        <v>15000</v>
      </c>
      <c r="E31" s="491">
        <v>777</v>
      </c>
      <c r="F31" s="15"/>
      <c r="G31" s="32">
        <f>ROUND($D31*$E31,-2)</f>
        <v>11655000</v>
      </c>
      <c r="H31" s="5"/>
    </row>
    <row r="32" spans="1:8">
      <c r="A32" s="481" t="s">
        <v>72</v>
      </c>
      <c r="B32" s="482">
        <v>8888</v>
      </c>
      <c r="C32" s="483">
        <v>0.67</v>
      </c>
      <c r="D32" s="37">
        <f t="shared" ref="D32:D34" si="2">IF($B32&gt;0,ROUND($B32/$C32,-2),0)</f>
        <v>13300</v>
      </c>
      <c r="E32" s="491">
        <v>888</v>
      </c>
      <c r="F32" s="15"/>
      <c r="G32" s="32">
        <f t="shared" ref="G32:G34" si="3">ROUND($D32*$E32,-2)</f>
        <v>11810400</v>
      </c>
      <c r="H32" s="5"/>
    </row>
    <row r="33" spans="1:8">
      <c r="A33" s="484" t="s">
        <v>197</v>
      </c>
      <c r="B33" s="485">
        <v>9999</v>
      </c>
      <c r="C33" s="486">
        <v>0.88</v>
      </c>
      <c r="D33" s="435">
        <f t="shared" si="2"/>
        <v>11400</v>
      </c>
      <c r="E33" s="492">
        <v>999</v>
      </c>
      <c r="F33" s="436"/>
      <c r="G33" s="437">
        <f t="shared" si="3"/>
        <v>11388600</v>
      </c>
      <c r="H33" s="5"/>
    </row>
    <row r="34" spans="1:8">
      <c r="A34" s="481" t="s">
        <v>51</v>
      </c>
      <c r="B34" s="482">
        <v>0</v>
      </c>
      <c r="C34" s="483">
        <v>0</v>
      </c>
      <c r="D34" s="37">
        <f t="shared" si="2"/>
        <v>0</v>
      </c>
      <c r="E34" s="491">
        <v>0</v>
      </c>
      <c r="F34" s="15"/>
      <c r="G34" s="32">
        <f t="shared" si="3"/>
        <v>0</v>
      </c>
      <c r="H34" s="5"/>
    </row>
    <row r="35" spans="1:8">
      <c r="A35" s="481" t="s">
        <v>51</v>
      </c>
      <c r="B35" s="482">
        <v>0</v>
      </c>
      <c r="C35" s="483">
        <v>0</v>
      </c>
      <c r="D35" s="37">
        <f>IF($B35&gt;0,ROUND($B35/$C35,-2),0)</f>
        <v>0</v>
      </c>
      <c r="E35" s="491">
        <v>0</v>
      </c>
      <c r="F35" s="15"/>
      <c r="G35" s="32">
        <f>ROUND($D35*$E35,-2)</f>
        <v>0</v>
      </c>
      <c r="H35" s="5"/>
    </row>
    <row r="36" spans="1:8">
      <c r="A36" s="487" t="s">
        <v>51</v>
      </c>
      <c r="B36" s="488">
        <v>0</v>
      </c>
      <c r="C36" s="489">
        <v>0</v>
      </c>
      <c r="D36" s="432">
        <f>IF($B36&gt;0,ROUND($B36/$C36,-2),0)</f>
        <v>0</v>
      </c>
      <c r="E36" s="493">
        <v>0</v>
      </c>
      <c r="F36" s="433"/>
      <c r="G36" s="434">
        <f>ROUND($D36*$E36,-2)</f>
        <v>0</v>
      </c>
      <c r="H36" s="5"/>
    </row>
    <row r="37" spans="1:8">
      <c r="A37" s="5"/>
      <c r="B37" s="28">
        <f>SUM(B$30:B$36)</f>
        <v>33330</v>
      </c>
      <c r="C37" s="3"/>
      <c r="D37" s="28">
        <f>SUM(D$30:D$36)</f>
        <v>50800</v>
      </c>
      <c r="E37" s="3"/>
      <c r="F37" s="1" t="s">
        <v>35</v>
      </c>
      <c r="G37" s="32">
        <f>ROUND(SUM(G$30:G$36),-3)</f>
        <v>42247000</v>
      </c>
      <c r="H37" s="73">
        <f>($G$37)</f>
        <v>42247000</v>
      </c>
    </row>
    <row r="38" spans="1:8">
      <c r="A38" s="11" t="s">
        <v>50</v>
      </c>
      <c r="B38" s="3"/>
      <c r="C38" s="3"/>
      <c r="D38" s="3"/>
      <c r="E38" s="3"/>
      <c r="F38" s="5"/>
      <c r="G38" s="12"/>
      <c r="H38" s="3"/>
    </row>
    <row r="39" spans="1:8">
      <c r="A39" s="13" t="s">
        <v>36</v>
      </c>
      <c r="B39" s="5"/>
      <c r="C39" s="5"/>
      <c r="D39" s="14" t="s">
        <v>33</v>
      </c>
      <c r="E39" s="14" t="s">
        <v>34</v>
      </c>
      <c r="F39" s="14" t="s">
        <v>140</v>
      </c>
      <c r="G39" s="14" t="s">
        <v>0</v>
      </c>
      <c r="H39" s="5"/>
    </row>
    <row r="40" spans="1:8">
      <c r="A40" s="438" t="s">
        <v>37</v>
      </c>
      <c r="B40" s="439" t="s">
        <v>86</v>
      </c>
      <c r="C40" s="440"/>
      <c r="D40" s="440"/>
      <c r="E40" s="440"/>
      <c r="F40" s="440"/>
      <c r="G40" s="440"/>
      <c r="H40" s="5"/>
    </row>
    <row r="41" spans="1:8">
      <c r="A41" s="1" t="s">
        <v>38</v>
      </c>
      <c r="B41" s="585" t="s">
        <v>282</v>
      </c>
      <c r="C41" s="586"/>
      <c r="D41" s="472">
        <v>8888</v>
      </c>
      <c r="E41" s="473">
        <v>2.29</v>
      </c>
      <c r="F41" s="49">
        <f>ROUNDUP((10*ENR!$S$15),0)</f>
        <v>17</v>
      </c>
      <c r="G41" s="32">
        <f>ROUND($D41*$E41,-2)</f>
        <v>20400</v>
      </c>
      <c r="H41" s="45"/>
    </row>
    <row r="42" spans="1:8">
      <c r="A42" s="1" t="s">
        <v>39</v>
      </c>
      <c r="B42" s="585" t="s">
        <v>100</v>
      </c>
      <c r="C42" s="586"/>
      <c r="D42" s="474">
        <v>0</v>
      </c>
      <c r="E42" s="475">
        <f t="shared" ref="E42:E44" si="4">($F42)</f>
        <v>58</v>
      </c>
      <c r="F42" s="49">
        <f>ROUNDUP((35*ENR!$S$15),0)</f>
        <v>58</v>
      </c>
      <c r="G42" s="32">
        <f>ROUND($D42*$E42,-2)</f>
        <v>0</v>
      </c>
      <c r="H42" s="5"/>
    </row>
    <row r="43" spans="1:8">
      <c r="A43" s="1" t="s">
        <v>40</v>
      </c>
      <c r="B43" s="585" t="s">
        <v>100</v>
      </c>
      <c r="C43" s="586"/>
      <c r="D43" s="474">
        <v>8888</v>
      </c>
      <c r="E43" s="475">
        <f t="shared" si="4"/>
        <v>96</v>
      </c>
      <c r="F43" s="49">
        <f>ROUNDUP((58.5*ENR!$S$15),0)</f>
        <v>96</v>
      </c>
      <c r="G43" s="32">
        <f>ROUND($D43*$E43,-2)</f>
        <v>853200</v>
      </c>
      <c r="H43" s="5"/>
    </row>
    <row r="44" spans="1:8">
      <c r="A44" s="1" t="s">
        <v>41</v>
      </c>
      <c r="B44" s="585" t="s">
        <v>100</v>
      </c>
      <c r="C44" s="586"/>
      <c r="D44" s="476">
        <v>0</v>
      </c>
      <c r="E44" s="477">
        <f t="shared" si="4"/>
        <v>115</v>
      </c>
      <c r="F44" s="49">
        <f>ROUNDUP((70*ENR!$S$15),0)</f>
        <v>115</v>
      </c>
      <c r="G44" s="32">
        <f>ROUND($D44*$E44,-2)</f>
        <v>0</v>
      </c>
      <c r="H44" s="5"/>
    </row>
    <row r="45" spans="1:8">
      <c r="A45" s="438" t="s">
        <v>42</v>
      </c>
      <c r="B45" s="440"/>
      <c r="C45" s="440"/>
      <c r="D45" s="441"/>
      <c r="E45" s="442"/>
      <c r="F45" s="442"/>
      <c r="G45" s="443"/>
      <c r="H45" s="5"/>
    </row>
    <row r="46" spans="1:8">
      <c r="A46" s="1" t="s">
        <v>39</v>
      </c>
      <c r="B46" s="585" t="s">
        <v>100</v>
      </c>
      <c r="C46" s="586"/>
      <c r="D46" s="472">
        <v>0</v>
      </c>
      <c r="E46" s="473">
        <f t="shared" ref="E46:E49" si="5">($F46)</f>
        <v>19</v>
      </c>
      <c r="F46" s="49">
        <f>ROUNDUP((11.25*ENR!$S$15),0)</f>
        <v>19</v>
      </c>
      <c r="G46" s="32">
        <f>ROUND($D46*$E46,-2)</f>
        <v>0</v>
      </c>
      <c r="H46" s="5"/>
    </row>
    <row r="47" spans="1:8">
      <c r="A47" s="1" t="s">
        <v>40</v>
      </c>
      <c r="B47" s="585" t="s">
        <v>283</v>
      </c>
      <c r="C47" s="586"/>
      <c r="D47" s="474">
        <v>8888</v>
      </c>
      <c r="E47" s="475">
        <v>29.29</v>
      </c>
      <c r="F47" s="49">
        <f>ROUNDUP((19.5*ENR!$S$15),0)</f>
        <v>32</v>
      </c>
      <c r="G47" s="32">
        <f>ROUND($D47*$E47,-2)</f>
        <v>260300</v>
      </c>
      <c r="H47" s="5"/>
    </row>
    <row r="48" spans="1:8">
      <c r="A48" s="1" t="s">
        <v>41</v>
      </c>
      <c r="B48" s="585" t="s">
        <v>100</v>
      </c>
      <c r="C48" s="586"/>
      <c r="D48" s="474">
        <v>0</v>
      </c>
      <c r="E48" s="475">
        <f t="shared" si="5"/>
        <v>36</v>
      </c>
      <c r="F48" s="49">
        <f>ROUNDUP((22*ENR!$S$15),0)</f>
        <v>36</v>
      </c>
      <c r="G48" s="32">
        <f>ROUND($D48*$E48,-2)</f>
        <v>0</v>
      </c>
      <c r="H48" s="5"/>
    </row>
    <row r="49" spans="1:8">
      <c r="A49" s="1" t="s">
        <v>43</v>
      </c>
      <c r="B49" s="585" t="s">
        <v>100</v>
      </c>
      <c r="C49" s="586"/>
      <c r="D49" s="476">
        <v>0</v>
      </c>
      <c r="E49" s="477">
        <f t="shared" si="5"/>
        <v>68</v>
      </c>
      <c r="F49" s="49">
        <f>ROUNDUP((41.5*ENR!$S$15),0)</f>
        <v>68</v>
      </c>
      <c r="G49" s="32">
        <f>ROUND($D49*$E49,-2)</f>
        <v>0</v>
      </c>
      <c r="H49" s="5"/>
    </row>
    <row r="50" spans="1:8">
      <c r="A50" s="438" t="s">
        <v>47</v>
      </c>
      <c r="B50" s="440"/>
      <c r="C50" s="440"/>
      <c r="D50" s="441"/>
      <c r="E50" s="442"/>
      <c r="F50" s="442"/>
      <c r="G50" s="443"/>
      <c r="H50" s="5"/>
    </row>
    <row r="51" spans="1:8">
      <c r="A51" s="1" t="s">
        <v>39</v>
      </c>
      <c r="B51" s="585" t="s">
        <v>100</v>
      </c>
      <c r="C51" s="586"/>
      <c r="D51" s="472">
        <v>0</v>
      </c>
      <c r="E51" s="473">
        <f t="shared" ref="E51:E53" si="6">($F51)</f>
        <v>25</v>
      </c>
      <c r="F51" s="49">
        <f>ROUNDUP((15*ENR!$S$15),0)</f>
        <v>25</v>
      </c>
      <c r="G51" s="32">
        <f>ROUND($D51*$E51,-2)</f>
        <v>0</v>
      </c>
      <c r="H51" s="5"/>
    </row>
    <row r="52" spans="1:8">
      <c r="A52" s="1" t="s">
        <v>40</v>
      </c>
      <c r="B52" s="585" t="s">
        <v>100</v>
      </c>
      <c r="C52" s="586"/>
      <c r="D52" s="474">
        <v>0</v>
      </c>
      <c r="E52" s="475">
        <f t="shared" si="6"/>
        <v>53</v>
      </c>
      <c r="F52" s="49">
        <f>ROUNDUP((32*ENR!$S$15),0)</f>
        <v>53</v>
      </c>
      <c r="G52" s="32">
        <f>ROUND($D52*$E52,-2)</f>
        <v>0</v>
      </c>
      <c r="H52" s="5"/>
    </row>
    <row r="53" spans="1:8">
      <c r="A53" s="1" t="s">
        <v>41</v>
      </c>
      <c r="B53" s="585" t="s">
        <v>100</v>
      </c>
      <c r="C53" s="586"/>
      <c r="D53" s="476">
        <v>88888</v>
      </c>
      <c r="E53" s="477">
        <f t="shared" si="6"/>
        <v>79</v>
      </c>
      <c r="F53" s="49">
        <f>ROUNDUP((48*ENR!$S$15),0)</f>
        <v>79</v>
      </c>
      <c r="G53" s="32">
        <f>ROUND($D53*$E53,-2)</f>
        <v>7022200</v>
      </c>
      <c r="H53" s="5"/>
    </row>
    <row r="54" spans="1:8">
      <c r="A54" s="438" t="s">
        <v>44</v>
      </c>
      <c r="B54" s="440"/>
      <c r="C54" s="440"/>
      <c r="D54" s="441"/>
      <c r="E54" s="442"/>
      <c r="F54" s="442"/>
      <c r="G54" s="443"/>
      <c r="H54" s="5"/>
    </row>
    <row r="55" spans="1:8">
      <c r="A55" s="1" t="s">
        <v>39</v>
      </c>
      <c r="B55" s="585" t="s">
        <v>100</v>
      </c>
      <c r="C55" s="586"/>
      <c r="D55" s="472">
        <v>0</v>
      </c>
      <c r="E55" s="473">
        <f t="shared" ref="E55:E57" si="7">($F55)</f>
        <v>20</v>
      </c>
      <c r="F55" s="49">
        <f>ROUNDUP((12*ENR!$S$15),0)</f>
        <v>20</v>
      </c>
      <c r="G55" s="32">
        <f>ROUND($D55*$E55,-2)</f>
        <v>0</v>
      </c>
      <c r="H55" s="5"/>
    </row>
    <row r="56" spans="1:8">
      <c r="A56" s="1" t="s">
        <v>40</v>
      </c>
      <c r="B56" s="585" t="s">
        <v>100</v>
      </c>
      <c r="C56" s="586"/>
      <c r="D56" s="474">
        <v>0</v>
      </c>
      <c r="E56" s="475">
        <f t="shared" si="7"/>
        <v>35</v>
      </c>
      <c r="F56" s="49">
        <f>ROUNDUP((21*ENR!$S$15),0)</f>
        <v>35</v>
      </c>
      <c r="G56" s="32">
        <f>ROUND($D56*$E56,-2)</f>
        <v>0</v>
      </c>
      <c r="H56" s="5"/>
    </row>
    <row r="57" spans="1:8">
      <c r="A57" s="1" t="s">
        <v>41</v>
      </c>
      <c r="B57" s="585" t="s">
        <v>100</v>
      </c>
      <c r="C57" s="586"/>
      <c r="D57" s="476">
        <v>88888</v>
      </c>
      <c r="E57" s="477">
        <f t="shared" si="7"/>
        <v>45</v>
      </c>
      <c r="F57" s="49">
        <f>ROUNDUP((27*ENR!$S$15),0)</f>
        <v>45</v>
      </c>
      <c r="G57" s="32">
        <f>ROUND($D57*$E57,-2)</f>
        <v>4000000</v>
      </c>
      <c r="H57" s="5"/>
    </row>
    <row r="58" spans="1:8">
      <c r="A58" s="5"/>
      <c r="B58" s="5"/>
      <c r="C58" s="5"/>
      <c r="D58" s="5"/>
      <c r="E58" s="5"/>
      <c r="F58" s="1" t="s">
        <v>35</v>
      </c>
      <c r="G58" s="28">
        <f>ROUND(SUM(G$41:G$44,G$46:G$49,G$51:G$53,G$55:G$57),-3)</f>
        <v>12156000</v>
      </c>
      <c r="H58" s="5"/>
    </row>
    <row r="59" spans="1:8">
      <c r="A59" s="5" t="s">
        <v>179</v>
      </c>
      <c r="B59" s="5"/>
      <c r="C59" s="5"/>
      <c r="D59" s="5"/>
      <c r="E59" s="5"/>
      <c r="F59" s="1"/>
      <c r="G59" s="126" t="str">
        <f>IF(AND($G$37&gt;0,$G$58&gt;0),"ERROR?","")</f>
        <v>ERROR?</v>
      </c>
      <c r="H59" s="73">
        <f>($G$58)</f>
        <v>12156000</v>
      </c>
    </row>
    <row r="60" spans="1:8" ht="6" customHeight="1" thickBot="1">
      <c r="A60" s="5"/>
      <c r="B60" s="5"/>
      <c r="C60" s="5"/>
      <c r="D60" s="5"/>
      <c r="E60" s="5"/>
      <c r="F60" s="1"/>
      <c r="G60" s="3"/>
      <c r="H60" s="5"/>
    </row>
    <row r="61" spans="1:8" ht="13" thickBot="1">
      <c r="A61" s="444" t="s">
        <v>137</v>
      </c>
      <c r="B61" s="445"/>
      <c r="C61" s="445"/>
      <c r="D61" s="445"/>
      <c r="E61" s="445"/>
      <c r="F61" s="445"/>
      <c r="G61" s="446"/>
      <c r="H61" s="226">
        <f>ROUND(($H$26+$H$37+$H$59),-3)</f>
        <v>64282000</v>
      </c>
    </row>
    <row r="62" spans="1:8">
      <c r="A62" s="5" t="str">
        <f>A3</f>
        <v xml:space="preserve">PROJECT TITLE:  </v>
      </c>
      <c r="B62" s="11" t="str">
        <f>IF($B$3="","",$B$3)</f>
        <v>OLD MAIN MEMORIAL HALL ADDITION &amp; RENOVATION - PHASE VIII + ALTERNATE 8</v>
      </c>
      <c r="C62" s="5"/>
      <c r="D62" s="5"/>
      <c r="E62" s="5"/>
      <c r="F62" s="5"/>
      <c r="G62" s="5"/>
      <c r="H62" s="5"/>
    </row>
    <row r="63" spans="1:8">
      <c r="A63" s="1" t="str">
        <f>((A61)&amp;" (from page 1)")</f>
        <v>NEW CONSTRUCTION &amp; REMODELING COST SUBTOTAL (from page 1)</v>
      </c>
      <c r="B63" s="5"/>
      <c r="C63" s="5"/>
      <c r="D63" s="11"/>
      <c r="E63" s="11"/>
      <c r="F63" s="11"/>
      <c r="G63" s="12"/>
      <c r="H63" s="32">
        <f>VALUE($H$61)</f>
        <v>64282000</v>
      </c>
    </row>
    <row r="64" spans="1:8">
      <c r="A64" s="2" t="s">
        <v>78</v>
      </c>
      <c r="B64" s="5"/>
      <c r="C64" s="5"/>
      <c r="D64" s="11"/>
      <c r="E64" s="11"/>
      <c r="F64" s="11"/>
      <c r="G64" s="2"/>
      <c r="H64" s="17"/>
    </row>
    <row r="65" spans="1:8" ht="6" customHeight="1">
      <c r="A65" s="5"/>
      <c r="B65" s="5"/>
      <c r="C65" s="5"/>
      <c r="D65" s="5"/>
      <c r="E65" s="5"/>
      <c r="F65" s="5"/>
      <c r="G65" s="5"/>
      <c r="H65" s="5"/>
    </row>
    <row r="66" spans="1:8">
      <c r="A66" s="13" t="s">
        <v>84</v>
      </c>
      <c r="B66" s="589" t="s">
        <v>85</v>
      </c>
      <c r="C66" s="589"/>
      <c r="D66" s="589"/>
      <c r="E66" s="38" t="s">
        <v>62</v>
      </c>
      <c r="F66" s="38" t="s">
        <v>65</v>
      </c>
      <c r="G66" s="38" t="s">
        <v>63</v>
      </c>
      <c r="H66" s="34" t="s">
        <v>64</v>
      </c>
    </row>
    <row r="67" spans="1:8">
      <c r="A67" s="44" t="s">
        <v>81</v>
      </c>
      <c r="B67" s="590" t="s">
        <v>139</v>
      </c>
      <c r="C67" s="590"/>
      <c r="D67" s="590"/>
      <c r="E67" s="469">
        <v>88888</v>
      </c>
      <c r="F67" s="47" t="s">
        <v>33</v>
      </c>
      <c r="G67" s="81">
        <f>(15*ENR!$Y$15)</f>
        <v>20.575178184020615</v>
      </c>
      <c r="H67" s="74">
        <f>ROUND(($E67*$G67),-3)</f>
        <v>1829000</v>
      </c>
    </row>
    <row r="68" spans="1:8">
      <c r="A68" s="39"/>
      <c r="B68" s="40"/>
      <c r="C68" s="40"/>
      <c r="D68" s="40"/>
      <c r="E68" s="41"/>
      <c r="F68" s="42"/>
      <c r="G68" s="43"/>
      <c r="H68" s="28"/>
    </row>
    <row r="69" spans="1:8">
      <c r="A69" s="578" t="s">
        <v>153</v>
      </c>
      <c r="B69" s="579"/>
      <c r="C69" s="579"/>
      <c r="D69" s="579"/>
      <c r="E69" s="579"/>
      <c r="F69" s="579"/>
      <c r="G69" s="580"/>
      <c r="H69" s="48"/>
    </row>
    <row r="70" spans="1:8">
      <c r="A70" s="521" t="s">
        <v>175</v>
      </c>
      <c r="B70" s="571"/>
      <c r="C70" s="571"/>
      <c r="D70" s="571"/>
      <c r="E70" s="522"/>
      <c r="F70" s="523"/>
      <c r="G70" s="524"/>
      <c r="H70" s="48">
        <f t="shared" ref="H70:H103" si="8">ROUND(($E70*$G70),-2)</f>
        <v>0</v>
      </c>
    </row>
    <row r="71" spans="1:8">
      <c r="A71" s="525"/>
      <c r="B71" s="571" t="s">
        <v>87</v>
      </c>
      <c r="C71" s="571"/>
      <c r="D71" s="571"/>
      <c r="E71" s="522">
        <v>8</v>
      </c>
      <c r="F71" s="523" t="s">
        <v>146</v>
      </c>
      <c r="G71" s="524">
        <v>888</v>
      </c>
      <c r="H71" s="48">
        <f t="shared" si="8"/>
        <v>7100</v>
      </c>
    </row>
    <row r="72" spans="1:8">
      <c r="A72" s="526"/>
      <c r="B72" s="571" t="s">
        <v>88</v>
      </c>
      <c r="C72" s="571"/>
      <c r="D72" s="571"/>
      <c r="E72" s="522">
        <v>88</v>
      </c>
      <c r="F72" s="523" t="s">
        <v>144</v>
      </c>
      <c r="G72" s="524">
        <v>88</v>
      </c>
      <c r="H72" s="48">
        <f t="shared" si="8"/>
        <v>7700</v>
      </c>
    </row>
    <row r="73" spans="1:8">
      <c r="A73" s="526"/>
      <c r="B73" s="571" t="s">
        <v>89</v>
      </c>
      <c r="C73" s="571"/>
      <c r="D73" s="571"/>
      <c r="E73" s="522">
        <v>888</v>
      </c>
      <c r="F73" s="523" t="s">
        <v>67</v>
      </c>
      <c r="G73" s="524">
        <v>8</v>
      </c>
      <c r="H73" s="48">
        <f t="shared" si="8"/>
        <v>7100</v>
      </c>
    </row>
    <row r="74" spans="1:8">
      <c r="A74" s="535" t="s">
        <v>176</v>
      </c>
      <c r="B74" s="581"/>
      <c r="C74" s="582"/>
      <c r="D74" s="583"/>
      <c r="E74" s="539"/>
      <c r="F74" s="540"/>
      <c r="G74" s="541"/>
      <c r="H74" s="48">
        <f t="shared" si="8"/>
        <v>0</v>
      </c>
    </row>
    <row r="75" spans="1:8">
      <c r="A75" s="525"/>
      <c r="B75" s="575" t="s">
        <v>177</v>
      </c>
      <c r="C75" s="571"/>
      <c r="D75" s="576"/>
      <c r="E75" s="522">
        <v>8</v>
      </c>
      <c r="F75" s="523" t="s">
        <v>31</v>
      </c>
      <c r="G75" s="524">
        <v>8888</v>
      </c>
      <c r="H75" s="48">
        <f t="shared" si="8"/>
        <v>71100</v>
      </c>
    </row>
    <row r="76" spans="1:8">
      <c r="A76" s="526"/>
      <c r="B76" s="575" t="s">
        <v>90</v>
      </c>
      <c r="C76" s="571"/>
      <c r="D76" s="576"/>
      <c r="E76" s="522">
        <v>88</v>
      </c>
      <c r="F76" s="523" t="s">
        <v>33</v>
      </c>
      <c r="G76" s="524">
        <v>888</v>
      </c>
      <c r="H76" s="48">
        <f t="shared" si="8"/>
        <v>78100</v>
      </c>
    </row>
    <row r="77" spans="1:8">
      <c r="A77" s="525"/>
      <c r="B77" s="575" t="s">
        <v>91</v>
      </c>
      <c r="C77" s="571"/>
      <c r="D77" s="576"/>
      <c r="E77" s="522">
        <v>888</v>
      </c>
      <c r="F77" s="523" t="s">
        <v>290</v>
      </c>
      <c r="G77" s="524">
        <v>88</v>
      </c>
      <c r="H77" s="48">
        <f t="shared" si="8"/>
        <v>78100</v>
      </c>
    </row>
    <row r="78" spans="1:8">
      <c r="A78" s="525"/>
      <c r="B78" s="575" t="s">
        <v>285</v>
      </c>
      <c r="C78" s="571"/>
      <c r="D78" s="576"/>
      <c r="E78" s="522">
        <v>8888</v>
      </c>
      <c r="F78" s="523" t="s">
        <v>291</v>
      </c>
      <c r="G78" s="524">
        <v>8</v>
      </c>
      <c r="H78" s="48">
        <f t="shared" si="8"/>
        <v>71100</v>
      </c>
    </row>
    <row r="79" spans="1:8">
      <c r="A79" s="544" t="s">
        <v>324</v>
      </c>
      <c r="B79" s="581"/>
      <c r="C79" s="582"/>
      <c r="D79" s="583"/>
      <c r="E79" s="539"/>
      <c r="F79" s="540"/>
      <c r="G79" s="541"/>
      <c r="H79" s="48">
        <f t="shared" si="8"/>
        <v>0</v>
      </c>
    </row>
    <row r="80" spans="1:8">
      <c r="A80" s="526"/>
      <c r="B80" s="575" t="s">
        <v>286</v>
      </c>
      <c r="C80" s="571"/>
      <c r="D80" s="576"/>
      <c r="E80" s="522">
        <v>8</v>
      </c>
      <c r="F80" s="523" t="s">
        <v>146</v>
      </c>
      <c r="G80" s="524">
        <v>8888</v>
      </c>
      <c r="H80" s="48">
        <f t="shared" si="8"/>
        <v>71100</v>
      </c>
    </row>
    <row r="81" spans="1:8">
      <c r="A81" s="526"/>
      <c r="B81" s="575" t="s">
        <v>287</v>
      </c>
      <c r="C81" s="571"/>
      <c r="D81" s="576"/>
      <c r="E81" s="522">
        <v>88</v>
      </c>
      <c r="F81" s="523" t="s">
        <v>31</v>
      </c>
      <c r="G81" s="524">
        <v>888</v>
      </c>
      <c r="H81" s="48">
        <f t="shared" si="8"/>
        <v>78100</v>
      </c>
    </row>
    <row r="82" spans="1:8">
      <c r="A82" s="526"/>
      <c r="B82" s="575" t="s">
        <v>288</v>
      </c>
      <c r="C82" s="571"/>
      <c r="D82" s="576"/>
      <c r="E82" s="522">
        <v>888</v>
      </c>
      <c r="F82" s="523" t="s">
        <v>33</v>
      </c>
      <c r="G82" s="524">
        <v>88</v>
      </c>
      <c r="H82" s="48">
        <f t="shared" si="8"/>
        <v>78100</v>
      </c>
    </row>
    <row r="83" spans="1:8">
      <c r="A83" s="526"/>
      <c r="B83" s="575" t="s">
        <v>289</v>
      </c>
      <c r="C83" s="571"/>
      <c r="D83" s="576"/>
      <c r="E83" s="522">
        <v>8888</v>
      </c>
      <c r="F83" s="523" t="s">
        <v>67</v>
      </c>
      <c r="G83" s="524">
        <v>8</v>
      </c>
      <c r="H83" s="48">
        <f t="shared" si="8"/>
        <v>71100</v>
      </c>
    </row>
    <row r="84" spans="1:8">
      <c r="A84" s="544"/>
      <c r="B84" s="581"/>
      <c r="C84" s="582"/>
      <c r="D84" s="583"/>
      <c r="E84" s="539"/>
      <c r="F84" s="540"/>
      <c r="G84" s="541"/>
      <c r="H84" s="48">
        <f t="shared" si="8"/>
        <v>0</v>
      </c>
    </row>
    <row r="85" spans="1:8">
      <c r="A85" s="526"/>
      <c r="B85" s="575"/>
      <c r="C85" s="571"/>
      <c r="D85" s="576"/>
      <c r="E85" s="522"/>
      <c r="F85" s="523"/>
      <c r="G85" s="524"/>
      <c r="H85" s="48">
        <f t="shared" si="8"/>
        <v>0</v>
      </c>
    </row>
    <row r="86" spans="1:8">
      <c r="A86" s="526"/>
      <c r="B86" s="575" t="s">
        <v>178</v>
      </c>
      <c r="C86" s="571"/>
      <c r="D86" s="576"/>
      <c r="E86" s="522"/>
      <c r="F86" s="523"/>
      <c r="G86" s="524"/>
      <c r="H86" s="48">
        <f t="shared" si="8"/>
        <v>0</v>
      </c>
    </row>
    <row r="87" spans="1:8">
      <c r="A87" s="526"/>
      <c r="B87" s="575"/>
      <c r="C87" s="571"/>
      <c r="D87" s="576"/>
      <c r="E87" s="522"/>
      <c r="F87" s="523"/>
      <c r="G87" s="524"/>
      <c r="H87" s="48">
        <f t="shared" si="8"/>
        <v>0</v>
      </c>
    </row>
    <row r="88" spans="1:8">
      <c r="A88" s="526"/>
      <c r="B88" s="575"/>
      <c r="C88" s="571"/>
      <c r="D88" s="576"/>
      <c r="E88" s="522"/>
      <c r="F88" s="523"/>
      <c r="G88" s="524"/>
      <c r="H88" s="48">
        <f t="shared" si="8"/>
        <v>0</v>
      </c>
    </row>
    <row r="89" spans="1:8">
      <c r="A89" s="544" t="s">
        <v>284</v>
      </c>
      <c r="B89" s="581" t="s">
        <v>325</v>
      </c>
      <c r="C89" s="582"/>
      <c r="D89" s="583"/>
      <c r="E89" s="539">
        <v>1</v>
      </c>
      <c r="F89" s="540" t="s">
        <v>66</v>
      </c>
      <c r="G89" s="541">
        <v>8888888</v>
      </c>
      <c r="H89" s="48">
        <f t="shared" si="8"/>
        <v>8888900</v>
      </c>
    </row>
    <row r="90" spans="1:8">
      <c r="A90" s="526"/>
      <c r="B90" s="575"/>
      <c r="C90" s="571"/>
      <c r="D90" s="576"/>
      <c r="E90" s="522"/>
      <c r="F90" s="523"/>
      <c r="G90" s="524"/>
      <c r="H90" s="48">
        <f t="shared" si="8"/>
        <v>0</v>
      </c>
    </row>
    <row r="91" spans="1:8">
      <c r="A91" s="526"/>
      <c r="B91" s="575"/>
      <c r="C91" s="571"/>
      <c r="D91" s="576"/>
      <c r="E91" s="522"/>
      <c r="F91" s="523"/>
      <c r="G91" s="524"/>
      <c r="H91" s="48">
        <f t="shared" si="8"/>
        <v>0</v>
      </c>
    </row>
    <row r="92" spans="1:8">
      <c r="A92" s="526"/>
      <c r="B92" s="575"/>
      <c r="C92" s="571"/>
      <c r="D92" s="576"/>
      <c r="E92" s="522"/>
      <c r="F92" s="523"/>
      <c r="G92" s="524"/>
      <c r="H92" s="48">
        <f t="shared" si="8"/>
        <v>0</v>
      </c>
    </row>
    <row r="93" spans="1:8">
      <c r="A93" s="526"/>
      <c r="B93" s="575"/>
      <c r="C93" s="571"/>
      <c r="D93" s="576"/>
      <c r="E93" s="522"/>
      <c r="F93" s="523"/>
      <c r="G93" s="524"/>
      <c r="H93" s="48">
        <f t="shared" si="8"/>
        <v>0</v>
      </c>
    </row>
    <row r="94" spans="1:8">
      <c r="A94" s="544"/>
      <c r="B94" s="581"/>
      <c r="C94" s="582"/>
      <c r="D94" s="583"/>
      <c r="E94" s="539"/>
      <c r="F94" s="540"/>
      <c r="G94" s="541"/>
      <c r="H94" s="48">
        <f t="shared" si="8"/>
        <v>0</v>
      </c>
    </row>
    <row r="95" spans="1:8">
      <c r="A95" s="526"/>
      <c r="B95" s="575"/>
      <c r="C95" s="571"/>
      <c r="D95" s="576"/>
      <c r="E95" s="522"/>
      <c r="F95" s="523"/>
      <c r="G95" s="524"/>
      <c r="H95" s="48">
        <f t="shared" si="8"/>
        <v>0</v>
      </c>
    </row>
    <row r="96" spans="1:8">
      <c r="A96" s="526"/>
      <c r="B96" s="575"/>
      <c r="C96" s="571"/>
      <c r="D96" s="576"/>
      <c r="E96" s="522"/>
      <c r="F96" s="523"/>
      <c r="G96" s="524"/>
      <c r="H96" s="48">
        <f t="shared" si="8"/>
        <v>0</v>
      </c>
    </row>
    <row r="97" spans="1:8">
      <c r="A97" s="526"/>
      <c r="B97" s="575"/>
      <c r="C97" s="571"/>
      <c r="D97" s="576"/>
      <c r="E97" s="522"/>
      <c r="F97" s="523"/>
      <c r="G97" s="524"/>
      <c r="H97" s="48">
        <f t="shared" si="8"/>
        <v>0</v>
      </c>
    </row>
    <row r="98" spans="1:8">
      <c r="A98" s="526"/>
      <c r="B98" s="575"/>
      <c r="C98" s="571"/>
      <c r="D98" s="576"/>
      <c r="E98" s="522"/>
      <c r="F98" s="523"/>
      <c r="G98" s="524"/>
      <c r="H98" s="48">
        <f t="shared" si="8"/>
        <v>0</v>
      </c>
    </row>
    <row r="99" spans="1:8">
      <c r="A99" s="544"/>
      <c r="B99" s="581"/>
      <c r="C99" s="582"/>
      <c r="D99" s="583"/>
      <c r="E99" s="539"/>
      <c r="F99" s="540"/>
      <c r="G99" s="541"/>
      <c r="H99" s="48">
        <f t="shared" si="8"/>
        <v>0</v>
      </c>
    </row>
    <row r="100" spans="1:8">
      <c r="A100" s="525"/>
      <c r="B100" s="575"/>
      <c r="C100" s="571"/>
      <c r="D100" s="576"/>
      <c r="E100" s="522"/>
      <c r="F100" s="523"/>
      <c r="G100" s="524"/>
      <c r="H100" s="48">
        <f t="shared" si="8"/>
        <v>0</v>
      </c>
    </row>
    <row r="101" spans="1:8">
      <c r="A101" s="525"/>
      <c r="B101" s="575"/>
      <c r="C101" s="571"/>
      <c r="D101" s="576"/>
      <c r="E101" s="522"/>
      <c r="F101" s="523"/>
      <c r="G101" s="524"/>
      <c r="H101" s="48">
        <f t="shared" si="8"/>
        <v>0</v>
      </c>
    </row>
    <row r="102" spans="1:8">
      <c r="A102" s="526"/>
      <c r="B102" s="575"/>
      <c r="C102" s="571"/>
      <c r="D102" s="576"/>
      <c r="E102" s="522"/>
      <c r="F102" s="523"/>
      <c r="G102" s="524"/>
      <c r="H102" s="48">
        <f t="shared" si="8"/>
        <v>0</v>
      </c>
    </row>
    <row r="103" spans="1:8">
      <c r="A103" s="527"/>
      <c r="B103" s="632"/>
      <c r="C103" s="633"/>
      <c r="D103" s="634"/>
      <c r="E103" s="528"/>
      <c r="F103" s="529"/>
      <c r="G103" s="530"/>
      <c r="H103" s="48">
        <f t="shared" si="8"/>
        <v>0</v>
      </c>
    </row>
    <row r="104" spans="1:8">
      <c r="A104" s="584" t="s">
        <v>78</v>
      </c>
      <c r="B104" s="584"/>
      <c r="C104" s="584"/>
      <c r="D104" s="584"/>
      <c r="E104" s="584"/>
      <c r="F104" s="584"/>
      <c r="G104" s="584"/>
      <c r="H104" s="73">
        <f>ROUND(SUM(H$70:H$103),-3)</f>
        <v>9508000</v>
      </c>
    </row>
    <row r="105" spans="1:8">
      <c r="A105" s="82"/>
      <c r="B105" s="577"/>
      <c r="C105" s="577"/>
      <c r="D105" s="577"/>
      <c r="E105" s="83"/>
      <c r="F105" s="84"/>
      <c r="G105" s="85"/>
      <c r="H105" s="48"/>
    </row>
    <row r="106" spans="1:8">
      <c r="A106" s="578" t="s">
        <v>127</v>
      </c>
      <c r="B106" s="579"/>
      <c r="C106" s="579"/>
      <c r="D106" s="579"/>
      <c r="E106" s="579"/>
      <c r="F106" s="579"/>
      <c r="G106" s="580"/>
      <c r="H106" s="48"/>
    </row>
    <row r="107" spans="1:8">
      <c r="A107" s="521" t="s">
        <v>326</v>
      </c>
      <c r="B107" s="571" t="s">
        <v>145</v>
      </c>
      <c r="C107" s="571"/>
      <c r="D107" s="571"/>
      <c r="E107" s="531">
        <v>1</v>
      </c>
      <c r="F107" s="532" t="s">
        <v>146</v>
      </c>
      <c r="G107" s="533">
        <v>888888</v>
      </c>
      <c r="H107" s="48">
        <f t="shared" ref="H107:H112" si="9">ROUND(($E107*$G107),-2)</f>
        <v>888900</v>
      </c>
    </row>
    <row r="108" spans="1:8">
      <c r="A108" s="521" t="s">
        <v>148</v>
      </c>
      <c r="B108" s="575" t="s">
        <v>147</v>
      </c>
      <c r="C108" s="571"/>
      <c r="D108" s="576"/>
      <c r="E108" s="531">
        <v>1</v>
      </c>
      <c r="F108" s="532" t="s">
        <v>146</v>
      </c>
      <c r="G108" s="533">
        <v>8888</v>
      </c>
      <c r="H108" s="48">
        <f t="shared" si="9"/>
        <v>8900</v>
      </c>
    </row>
    <row r="109" spans="1:8">
      <c r="A109" s="548" t="s">
        <v>149</v>
      </c>
      <c r="B109" s="581" t="s">
        <v>292</v>
      </c>
      <c r="C109" s="582"/>
      <c r="D109" s="583"/>
      <c r="E109" s="549">
        <v>1</v>
      </c>
      <c r="F109" s="550" t="s">
        <v>146</v>
      </c>
      <c r="G109" s="551">
        <v>888</v>
      </c>
      <c r="H109" s="48">
        <f t="shared" si="9"/>
        <v>900</v>
      </c>
    </row>
    <row r="110" spans="1:8">
      <c r="A110" s="521"/>
      <c r="B110" s="575"/>
      <c r="C110" s="571"/>
      <c r="D110" s="576"/>
      <c r="E110" s="531"/>
      <c r="F110" s="532"/>
      <c r="G110" s="533"/>
      <c r="H110" s="48">
        <f t="shared" si="9"/>
        <v>0</v>
      </c>
    </row>
    <row r="111" spans="1:8">
      <c r="A111" s="521"/>
      <c r="B111" s="571"/>
      <c r="C111" s="571"/>
      <c r="D111" s="571"/>
      <c r="E111" s="531"/>
      <c r="F111" s="532"/>
      <c r="G111" s="533"/>
      <c r="H111" s="48">
        <f t="shared" si="9"/>
        <v>0</v>
      </c>
    </row>
    <row r="112" spans="1:8">
      <c r="A112" s="552"/>
      <c r="B112" s="572"/>
      <c r="C112" s="572"/>
      <c r="D112" s="572"/>
      <c r="E112" s="553"/>
      <c r="F112" s="554"/>
      <c r="G112" s="555"/>
      <c r="H112" s="48">
        <f t="shared" si="9"/>
        <v>0</v>
      </c>
    </row>
    <row r="113" spans="1:8">
      <c r="A113" s="573" t="s">
        <v>132</v>
      </c>
      <c r="B113" s="573"/>
      <c r="C113" s="573"/>
      <c r="D113" s="573"/>
      <c r="E113" s="573"/>
      <c r="F113" s="573"/>
      <c r="G113" s="574"/>
      <c r="H113" s="73">
        <f>ROUND(SUM(H$107:H$112),-3)</f>
        <v>899000</v>
      </c>
    </row>
    <row r="114" spans="1:8">
      <c r="A114" s="2"/>
      <c r="B114" s="5"/>
      <c r="C114" s="5"/>
      <c r="D114" s="5"/>
      <c r="E114" s="35"/>
      <c r="F114" s="5"/>
      <c r="G114" s="12"/>
      <c r="H114" s="32"/>
    </row>
    <row r="115" spans="1:8">
      <c r="A115" s="2" t="s">
        <v>135</v>
      </c>
      <c r="B115" s="5"/>
      <c r="C115" s="5"/>
      <c r="D115" s="5"/>
      <c r="E115" s="35"/>
      <c r="F115" s="5"/>
      <c r="G115" s="12"/>
      <c r="H115" s="73">
        <f>SUM($H$67,$H$104,$H$113)</f>
        <v>12236000</v>
      </c>
    </row>
    <row r="116" spans="1:8" ht="13" thickBot="1">
      <c r="A116" s="5"/>
      <c r="B116" s="5"/>
      <c r="C116" s="5"/>
      <c r="D116" s="5"/>
      <c r="E116" s="5"/>
      <c r="F116" s="5"/>
      <c r="G116" s="5"/>
      <c r="H116" s="3"/>
    </row>
    <row r="117" spans="1:8" ht="13" thickBot="1">
      <c r="A117" s="444" t="s">
        <v>136</v>
      </c>
      <c r="B117" s="445"/>
      <c r="C117" s="445"/>
      <c r="D117" s="445"/>
      <c r="E117" s="445"/>
      <c r="F117" s="444"/>
      <c r="G117" s="446"/>
      <c r="H117" s="226">
        <f>ROUND(SUM($H$63,$H$115),-3)</f>
        <v>76518000</v>
      </c>
    </row>
    <row r="118" spans="1:8">
      <c r="A118" s="2"/>
      <c r="B118" s="11"/>
      <c r="C118" s="11"/>
      <c r="D118" s="11"/>
      <c r="E118" s="11"/>
      <c r="F118" s="2"/>
      <c r="G118" s="7"/>
      <c r="H118" s="31"/>
    </row>
    <row r="119" spans="1:8">
      <c r="A119" s="1" t="s">
        <v>82</v>
      </c>
      <c r="B119" s="5" t="s">
        <v>83</v>
      </c>
      <c r="C119" s="5"/>
      <c r="D119" s="5"/>
      <c r="E119" s="469">
        <v>88888</v>
      </c>
      <c r="F119" s="470" t="s">
        <v>144</v>
      </c>
      <c r="G119" s="471">
        <v>8</v>
      </c>
      <c r="H119" s="73">
        <f>ROUND(($E119*$G119),-3)</f>
        <v>711000</v>
      </c>
    </row>
    <row r="120" spans="1:8">
      <c r="A120" s="2"/>
      <c r="B120" s="11"/>
      <c r="C120" s="11"/>
      <c r="D120" s="11"/>
      <c r="E120" s="11"/>
      <c r="F120" s="2"/>
      <c r="G120" s="7"/>
      <c r="H120" s="31"/>
    </row>
    <row r="121" spans="1:8">
      <c r="A121" s="5" t="str">
        <f>A3</f>
        <v xml:space="preserve">PROJECT TITLE:  </v>
      </c>
      <c r="B121" s="11" t="str">
        <f>IF($B$3="","",$B$3)</f>
        <v>OLD MAIN MEMORIAL HALL ADDITION &amp; RENOVATION - PHASE VIII + ALTERNATE 8</v>
      </c>
      <c r="C121" s="5"/>
      <c r="D121" s="5"/>
      <c r="E121" s="5"/>
      <c r="F121" s="5"/>
      <c r="G121" s="5"/>
      <c r="H121" s="5"/>
    </row>
    <row r="122" spans="1:8">
      <c r="A122" s="1" t="str">
        <f>((A$117)&amp;" (from page 2)")</f>
        <v>CONSTRUCTION &amp; REMODELING COST SUBTOTAL (from page 2)</v>
      </c>
      <c r="B122" s="5"/>
      <c r="C122" s="5"/>
      <c r="D122" s="11"/>
      <c r="E122" s="11"/>
      <c r="F122" s="11"/>
      <c r="G122" s="12"/>
      <c r="H122" s="73">
        <f>($H$117)</f>
        <v>76518000</v>
      </c>
    </row>
    <row r="123" spans="1:8" ht="13" thickBot="1">
      <c r="A123" s="1"/>
      <c r="B123" s="5"/>
      <c r="C123" s="5"/>
      <c r="D123" s="11"/>
      <c r="E123" s="11"/>
      <c r="F123" s="11"/>
      <c r="G123" s="7"/>
      <c r="H123" s="3"/>
    </row>
    <row r="124" spans="1:8" ht="13" thickBot="1">
      <c r="A124" s="447" t="s">
        <v>77</v>
      </c>
      <c r="B124" s="448"/>
      <c r="C124" s="448"/>
      <c r="D124" s="445"/>
      <c r="E124" s="445"/>
      <c r="F124" s="445"/>
      <c r="G124" s="446"/>
      <c r="H124" s="226">
        <f>ROUND(($E$135),-3)</f>
        <v>127694000</v>
      </c>
    </row>
    <row r="125" spans="1:8">
      <c r="A125" s="70" t="s">
        <v>390</v>
      </c>
      <c r="B125" s="5"/>
      <c r="C125" s="19"/>
      <c r="D125" s="11"/>
      <c r="E125" s="32">
        <f>($H$61)</f>
        <v>64282000</v>
      </c>
      <c r="F125" s="11"/>
      <c r="G125" s="7"/>
      <c r="H125" s="3"/>
    </row>
    <row r="126" spans="1:8">
      <c r="A126" s="70" t="s">
        <v>391</v>
      </c>
      <c r="B126" s="5"/>
      <c r="C126" s="19"/>
      <c r="D126" s="11"/>
      <c r="E126" s="32">
        <f>($H$67)</f>
        <v>1829000</v>
      </c>
      <c r="F126" s="11"/>
      <c r="G126" s="7"/>
      <c r="H126" s="3"/>
    </row>
    <row r="127" spans="1:8">
      <c r="A127" s="70" t="s">
        <v>392</v>
      </c>
      <c r="B127" s="5"/>
      <c r="C127" s="19"/>
      <c r="D127" s="11"/>
      <c r="E127" s="32">
        <f>($H$104)</f>
        <v>9508000</v>
      </c>
      <c r="F127" s="11"/>
      <c r="G127" s="7"/>
      <c r="H127" s="3"/>
    </row>
    <row r="128" spans="1:8">
      <c r="A128" s="70" t="s">
        <v>393</v>
      </c>
      <c r="B128" s="5"/>
      <c r="C128" s="19"/>
      <c r="D128" s="11"/>
      <c r="E128" s="77">
        <f>($H$113)</f>
        <v>899000</v>
      </c>
      <c r="F128" s="11"/>
      <c r="G128" s="7"/>
      <c r="H128" s="3"/>
    </row>
    <row r="129" spans="1:8">
      <c r="A129" s="70" t="s">
        <v>394</v>
      </c>
      <c r="B129" s="5"/>
      <c r="C129" s="19"/>
      <c r="D129" s="11"/>
      <c r="E129" s="32">
        <f>($H$117)</f>
        <v>76518000</v>
      </c>
      <c r="F129" s="11"/>
      <c r="G129" s="7"/>
      <c r="H129" s="3"/>
    </row>
    <row r="130" spans="1:8">
      <c r="A130" s="70" t="s">
        <v>107</v>
      </c>
      <c r="B130" s="5"/>
      <c r="C130" s="458">
        <v>8.8887999999999995E-2</v>
      </c>
      <c r="D130" s="32">
        <f>($H$122)</f>
        <v>76518000</v>
      </c>
      <c r="E130" s="32">
        <f>ROUND(($C$130*$D$130),-2)</f>
        <v>6801500</v>
      </c>
      <c r="F130" s="11"/>
      <c r="G130" s="7"/>
      <c r="H130" s="3"/>
    </row>
    <row r="131" spans="1:8">
      <c r="A131" s="70" t="s">
        <v>427</v>
      </c>
      <c r="B131" s="5"/>
      <c r="C131" s="556">
        <v>8.8887999999999995E-2</v>
      </c>
      <c r="D131" s="32">
        <f>($H$122)</f>
        <v>76518000</v>
      </c>
      <c r="E131" s="32">
        <f>ROUND(($C$131*$D$131),-2)</f>
        <v>6801500</v>
      </c>
      <c r="F131" s="11"/>
      <c r="G131" s="7"/>
      <c r="H131" s="3"/>
    </row>
    <row r="132" spans="1:8">
      <c r="A132" s="70" t="s">
        <v>116</v>
      </c>
      <c r="B132" s="5"/>
      <c r="C132" s="458">
        <v>8.8887999999999995E-2</v>
      </c>
      <c r="D132" s="32">
        <f>($H$122)</f>
        <v>76518000</v>
      </c>
      <c r="E132" s="32">
        <f>ROUND(($C$132*$D$132),-2)</f>
        <v>6801500</v>
      </c>
      <c r="F132" s="11"/>
      <c r="G132" s="7"/>
      <c r="H132" s="3"/>
    </row>
    <row r="133" spans="1:8">
      <c r="A133" s="70" t="s">
        <v>395</v>
      </c>
      <c r="B133" s="5"/>
      <c r="C133" s="19"/>
      <c r="D133" s="11"/>
      <c r="E133" s="77">
        <f>($H$119)</f>
        <v>711000</v>
      </c>
      <c r="F133" s="11"/>
      <c r="G133" s="7"/>
      <c r="H133" s="3"/>
    </row>
    <row r="134" spans="1:8">
      <c r="A134" s="70" t="s">
        <v>396</v>
      </c>
      <c r="B134" s="5"/>
      <c r="C134" s="19"/>
      <c r="D134" s="11"/>
      <c r="E134" s="32">
        <f>SUM(E$129:E$133)</f>
        <v>97633500</v>
      </c>
      <c r="F134" s="11"/>
      <c r="G134" s="7"/>
      <c r="H134" s="3"/>
    </row>
    <row r="135" spans="1:8">
      <c r="A135" s="70" t="s">
        <v>397</v>
      </c>
      <c r="B135" s="5"/>
      <c r="C135" s="66">
        <f>(ENR)</f>
        <v>1.3078929594167448</v>
      </c>
      <c r="D135" s="32">
        <f>($E$134)</f>
        <v>97633500</v>
      </c>
      <c r="E135" s="32">
        <f>ROUND(($D$135*$C$135),-2)</f>
        <v>127694200</v>
      </c>
      <c r="F135" s="11"/>
      <c r="G135" s="7"/>
      <c r="H135" s="3"/>
    </row>
    <row r="136" spans="1:8" ht="13" thickBot="1">
      <c r="A136" s="1"/>
      <c r="B136" s="5"/>
      <c r="C136" s="5"/>
      <c r="D136" s="11"/>
      <c r="E136" s="11"/>
      <c r="F136" s="11"/>
      <c r="G136" s="7"/>
      <c r="H136" s="3"/>
    </row>
    <row r="137" spans="1:8" ht="13" thickBot="1">
      <c r="A137" s="447" t="s">
        <v>74</v>
      </c>
      <c r="B137" s="448"/>
      <c r="C137" s="448"/>
      <c r="D137" s="443"/>
      <c r="E137" s="443"/>
      <c r="F137" s="449"/>
      <c r="G137" s="450">
        <f>IF($H$137=0,"",($H$137/TOTCONST))</f>
        <v>9.2447569971964225E-2</v>
      </c>
      <c r="H137" s="226">
        <f>ROUND(SUM($E$138:$E$140),-3)</f>
        <v>11805000</v>
      </c>
    </row>
    <row r="138" spans="1:8">
      <c r="A138" s="20" t="s">
        <v>104</v>
      </c>
      <c r="B138" s="5"/>
      <c r="C138" s="458">
        <v>8.8887999999999995E-2</v>
      </c>
      <c r="D138" s="32">
        <f>($H$124)</f>
        <v>127694000</v>
      </c>
      <c r="E138" s="32">
        <f>IF($E$139&gt;0,0,((ROUND(($C138*$D$138),-2))))</f>
        <v>11350500</v>
      </c>
      <c r="F138" s="1"/>
      <c r="G138" s="5"/>
      <c r="H138" s="3"/>
    </row>
    <row r="139" spans="1:8">
      <c r="A139" s="20" t="s">
        <v>105</v>
      </c>
      <c r="B139" s="5"/>
      <c r="C139" s="50" t="str">
        <f>IF($E$139=0,"",($E$139/TOTCONST))</f>
        <v/>
      </c>
      <c r="D139" s="3"/>
      <c r="E139" s="467">
        <v>0</v>
      </c>
      <c r="F139" s="1"/>
      <c r="G139" s="5"/>
      <c r="H139" s="3"/>
    </row>
    <row r="140" spans="1:8">
      <c r="A140" s="20" t="s">
        <v>59</v>
      </c>
      <c r="B140" s="5"/>
      <c r="C140" s="458">
        <v>0.04</v>
      </c>
      <c r="D140" s="32">
        <f>($E$138+$E$139)</f>
        <v>11350500</v>
      </c>
      <c r="E140" s="32">
        <f>ROUND($C140*D$140,-2)</f>
        <v>454000</v>
      </c>
      <c r="F140" s="8"/>
      <c r="G140" s="5"/>
      <c r="H140" s="3"/>
    </row>
    <row r="141" spans="1:8" ht="13" thickBot="1">
      <c r="A141" s="1"/>
      <c r="B141" s="5"/>
      <c r="C141" s="19"/>
      <c r="D141" s="3"/>
      <c r="E141" s="9"/>
      <c r="F141" s="5"/>
      <c r="G141" s="5"/>
      <c r="H141" s="3"/>
    </row>
    <row r="142" spans="1:8" ht="13" thickBot="1">
      <c r="A142" s="447" t="s">
        <v>75</v>
      </c>
      <c r="B142" s="448"/>
      <c r="C142" s="451"/>
      <c r="D142" s="443"/>
      <c r="E142" s="452"/>
      <c r="F142" s="448"/>
      <c r="G142" s="450">
        <f>IF($H$142=0,"",($H$142/TOTCONST))</f>
        <v>2.1676821150563064E-2</v>
      </c>
      <c r="H142" s="226">
        <f>ROUND(SUM($E$143:$E$152),-3)</f>
        <v>2768000</v>
      </c>
    </row>
    <row r="143" spans="1:8">
      <c r="A143" s="20" t="s">
        <v>68</v>
      </c>
      <c r="B143" s="5"/>
      <c r="C143" s="458">
        <v>0.01</v>
      </c>
      <c r="D143" s="32">
        <f>($H$124)</f>
        <v>127694000</v>
      </c>
      <c r="E143" s="32">
        <f>ROUND(($C143*$D$143),-2)</f>
        <v>1276900</v>
      </c>
      <c r="F143" s="1"/>
      <c r="G143" s="5"/>
      <c r="H143" s="3"/>
    </row>
    <row r="144" spans="1:8">
      <c r="A144" s="20" t="s">
        <v>3</v>
      </c>
      <c r="B144" s="5"/>
      <c r="C144" s="19"/>
      <c r="D144" s="3"/>
      <c r="E144" s="467">
        <v>0</v>
      </c>
      <c r="F144" s="5"/>
      <c r="G144" s="5"/>
      <c r="H144" s="3"/>
    </row>
    <row r="145" spans="1:8">
      <c r="A145" s="20" t="s">
        <v>124</v>
      </c>
      <c r="B145" s="5"/>
      <c r="C145" s="466">
        <v>0.01</v>
      </c>
      <c r="D145" s="32">
        <f>($H$124)</f>
        <v>127694000</v>
      </c>
      <c r="E145" s="32">
        <f>ROUND(($C$145*$D$145),-2)</f>
        <v>1276900</v>
      </c>
      <c r="F145" s="5"/>
      <c r="G145" s="5"/>
      <c r="H145" s="3"/>
    </row>
    <row r="146" spans="1:8">
      <c r="A146" s="20" t="s">
        <v>6</v>
      </c>
      <c r="B146" s="5"/>
      <c r="C146" s="69"/>
      <c r="D146" s="3"/>
      <c r="E146" s="463">
        <v>0</v>
      </c>
      <c r="F146" s="5"/>
      <c r="G146" s="5"/>
      <c r="H146" s="3"/>
    </row>
    <row r="147" spans="1:8">
      <c r="A147" s="20" t="s">
        <v>2</v>
      </c>
      <c r="B147" s="5"/>
      <c r="C147" s="19"/>
      <c r="D147" s="3"/>
      <c r="E147" s="464">
        <v>0</v>
      </c>
      <c r="F147" s="5"/>
      <c r="G147" s="5"/>
      <c r="H147" s="3"/>
    </row>
    <row r="148" spans="1:8">
      <c r="A148" s="20" t="s">
        <v>5</v>
      </c>
      <c r="B148" s="5"/>
      <c r="C148" s="19"/>
      <c r="D148" s="3"/>
      <c r="E148" s="464">
        <v>0</v>
      </c>
      <c r="F148" s="5"/>
      <c r="G148" s="5"/>
      <c r="H148" s="3"/>
    </row>
    <row r="149" spans="1:8">
      <c r="A149" s="631" t="s">
        <v>293</v>
      </c>
      <c r="B149" s="631"/>
      <c r="C149" s="631"/>
      <c r="D149" s="3"/>
      <c r="E149" s="464">
        <v>8888</v>
      </c>
      <c r="F149" s="5"/>
      <c r="G149" s="5"/>
      <c r="H149" s="3"/>
    </row>
    <row r="150" spans="1:8">
      <c r="A150" s="631" t="s">
        <v>294</v>
      </c>
      <c r="B150" s="631"/>
      <c r="C150" s="631"/>
      <c r="D150" s="3"/>
      <c r="E150" s="464">
        <v>88888</v>
      </c>
      <c r="F150" s="5"/>
      <c r="G150" s="5"/>
      <c r="H150" s="3"/>
    </row>
    <row r="151" spans="1:8">
      <c r="A151" s="631" t="s">
        <v>122</v>
      </c>
      <c r="B151" s="631"/>
      <c r="C151" s="631"/>
      <c r="D151" s="3"/>
      <c r="E151" s="465">
        <v>0</v>
      </c>
      <c r="F151" s="5"/>
      <c r="G151" s="5"/>
      <c r="H151" s="3"/>
    </row>
    <row r="152" spans="1:8">
      <c r="A152" s="20" t="s">
        <v>126</v>
      </c>
      <c r="B152" s="5"/>
      <c r="C152" s="466">
        <v>0.1</v>
      </c>
      <c r="D152" s="32">
        <f>($G$153)</f>
        <v>1164400</v>
      </c>
      <c r="E152" s="32">
        <f>ROUND(($C$152*$D$152),-2)</f>
        <v>116400</v>
      </c>
      <c r="F152" s="5"/>
      <c r="G152" s="5"/>
      <c r="H152" s="3"/>
    </row>
    <row r="153" spans="1:8">
      <c r="A153" s="557" t="s">
        <v>128</v>
      </c>
      <c r="B153" s="558"/>
      <c r="C153" s="559"/>
      <c r="D153" s="560"/>
      <c r="E153" s="32"/>
      <c r="F153" s="75" t="s">
        <v>133</v>
      </c>
      <c r="G153" s="76">
        <f>ROUND(SUM($E$154:$E$158),-2)</f>
        <v>1164400</v>
      </c>
      <c r="H153" s="3"/>
    </row>
    <row r="154" spans="1:8">
      <c r="A154" s="70" t="s">
        <v>123</v>
      </c>
      <c r="B154" s="70"/>
      <c r="C154" s="70"/>
      <c r="D154" s="3"/>
      <c r="E154" s="463">
        <v>888888</v>
      </c>
      <c r="F154" s="5"/>
      <c r="G154" s="5"/>
      <c r="H154" s="3"/>
    </row>
    <row r="155" spans="1:8">
      <c r="A155" s="70" t="s">
        <v>60</v>
      </c>
      <c r="B155" s="70"/>
      <c r="C155" s="70"/>
      <c r="D155" s="3"/>
      <c r="E155" s="464">
        <v>88888</v>
      </c>
      <c r="F155" s="5"/>
      <c r="G155" s="5"/>
      <c r="H155" s="3"/>
    </row>
    <row r="156" spans="1:8">
      <c r="A156" s="570" t="s">
        <v>296</v>
      </c>
      <c r="B156" s="570"/>
      <c r="C156" s="570"/>
      <c r="D156" s="3"/>
      <c r="E156" s="464">
        <v>8888</v>
      </c>
      <c r="F156" s="5"/>
      <c r="G156" s="5"/>
      <c r="H156" s="3"/>
    </row>
    <row r="157" spans="1:8">
      <c r="A157" s="570" t="s">
        <v>295</v>
      </c>
      <c r="B157" s="570"/>
      <c r="C157" s="570"/>
      <c r="D157" s="3"/>
      <c r="E157" s="464">
        <v>88888</v>
      </c>
      <c r="F157" s="5"/>
      <c r="G157" s="5"/>
      <c r="H157" s="3"/>
    </row>
    <row r="158" spans="1:8">
      <c r="A158" s="570" t="s">
        <v>297</v>
      </c>
      <c r="B158" s="570"/>
      <c r="C158" s="570"/>
      <c r="D158" s="3"/>
      <c r="E158" s="465">
        <v>88888</v>
      </c>
      <c r="F158" s="5"/>
      <c r="G158" s="5"/>
      <c r="H158" s="3"/>
    </row>
    <row r="159" spans="1:8" ht="13" thickBot="1">
      <c r="A159" s="18"/>
      <c r="B159" s="5"/>
      <c r="C159" s="19"/>
      <c r="D159" s="3"/>
      <c r="E159" s="5"/>
      <c r="F159" s="5"/>
      <c r="G159" s="5"/>
      <c r="H159" s="3"/>
    </row>
    <row r="160" spans="1:8" ht="13" thickBot="1">
      <c r="A160" s="447" t="s">
        <v>76</v>
      </c>
      <c r="B160" s="448"/>
      <c r="C160" s="459">
        <v>0.15</v>
      </c>
      <c r="D160" s="437">
        <f>($H$124)</f>
        <v>127694000</v>
      </c>
      <c r="E160" s="437">
        <f>ROUND($C160*$D160,-2)</f>
        <v>19154100</v>
      </c>
      <c r="F160" s="449"/>
      <c r="G160" s="448"/>
      <c r="H160" s="226">
        <f>ROUND(VALUE($E$160),-3)</f>
        <v>19154000</v>
      </c>
    </row>
    <row r="161" spans="1:8" ht="13" thickBot="1">
      <c r="A161" s="18"/>
      <c r="B161" s="5"/>
      <c r="C161" s="19"/>
      <c r="D161" s="3"/>
      <c r="E161" s="5"/>
      <c r="F161" s="5"/>
      <c r="G161" s="5"/>
      <c r="H161" s="3"/>
    </row>
    <row r="162" spans="1:8" ht="13" thickBot="1">
      <c r="A162" s="447" t="s">
        <v>103</v>
      </c>
      <c r="B162" s="448"/>
      <c r="C162" s="458">
        <v>0.04</v>
      </c>
      <c r="D162" s="437">
        <f>SUM($H$124+$H$160)</f>
        <v>146848000</v>
      </c>
      <c r="E162" s="437">
        <f>ROUND($C162*$D162,-2)</f>
        <v>5873900</v>
      </c>
      <c r="F162" s="449"/>
      <c r="G162" s="448"/>
      <c r="H162" s="226">
        <f>ROUND(VALUE($E$162),-3)</f>
        <v>5874000</v>
      </c>
    </row>
    <row r="163" spans="1:8" ht="13" thickBot="1">
      <c r="A163" s="5"/>
      <c r="B163" s="5"/>
      <c r="C163" s="21"/>
      <c r="D163" s="3"/>
      <c r="E163" s="3"/>
      <c r="F163" s="8"/>
      <c r="G163" s="5"/>
      <c r="H163" s="3"/>
    </row>
    <row r="164" spans="1:8" ht="13" thickBot="1">
      <c r="A164" s="447" t="s">
        <v>125</v>
      </c>
      <c r="B164" s="448"/>
      <c r="C164" s="453"/>
      <c r="D164" s="443"/>
      <c r="E164" s="443"/>
      <c r="F164" s="449"/>
      <c r="G164" s="454">
        <f>IF($H$164=0,"",($H$164/TOTCONST))</f>
        <v>0.13280968565476844</v>
      </c>
      <c r="H164" s="226">
        <f>ROUND(SUM($E$165:$E$172),-3)</f>
        <v>16959000</v>
      </c>
    </row>
    <row r="165" spans="1:8">
      <c r="A165" s="20" t="s">
        <v>131</v>
      </c>
      <c r="B165" s="5"/>
      <c r="C165" s="21"/>
      <c r="D165" s="3"/>
      <c r="E165" s="32">
        <f>ROUND(SUM($E$154:$E$158),-2)</f>
        <v>1164400</v>
      </c>
      <c r="F165" s="1"/>
      <c r="G165" s="5"/>
      <c r="H165" s="46"/>
    </row>
    <row r="166" spans="1:8">
      <c r="A166" s="128" t="s">
        <v>129</v>
      </c>
      <c r="B166" s="129"/>
      <c r="C166" s="131"/>
      <c r="D166" s="132"/>
      <c r="E166" s="3"/>
      <c r="F166" s="75" t="s">
        <v>134</v>
      </c>
      <c r="G166" s="76">
        <f>ROUND(SUM($E$167:$E$172),-2)</f>
        <v>15794900</v>
      </c>
      <c r="H166" s="46"/>
    </row>
    <row r="167" spans="1:8">
      <c r="A167" s="20" t="s">
        <v>130</v>
      </c>
      <c r="B167" s="5"/>
      <c r="C167" s="458">
        <v>8.8887999999999995E-2</v>
      </c>
      <c r="D167" s="32">
        <f>($H$124)</f>
        <v>127694000</v>
      </c>
      <c r="E167" s="32">
        <f>ROUND($C167*$D167,-2)</f>
        <v>11350500</v>
      </c>
      <c r="F167" s="22"/>
      <c r="G167" s="5"/>
      <c r="H167" s="3"/>
    </row>
    <row r="168" spans="1:8">
      <c r="A168" s="20" t="s">
        <v>123</v>
      </c>
      <c r="B168" s="5"/>
      <c r="C168" s="5"/>
      <c r="D168" s="3"/>
      <c r="E168" s="463">
        <v>888888</v>
      </c>
      <c r="F168" s="22"/>
      <c r="G168" s="5"/>
      <c r="H168" s="3"/>
    </row>
    <row r="169" spans="1:8">
      <c r="A169" s="20" t="s">
        <v>60</v>
      </c>
      <c r="B169" s="5"/>
      <c r="C169" s="5"/>
      <c r="D169" s="3"/>
      <c r="E169" s="464">
        <v>888888</v>
      </c>
      <c r="F169" s="22"/>
      <c r="G169" s="5"/>
      <c r="H169" s="3"/>
    </row>
    <row r="170" spans="1:8">
      <c r="A170" s="631" t="s">
        <v>298</v>
      </c>
      <c r="B170" s="631"/>
      <c r="C170" s="631"/>
      <c r="D170" s="3"/>
      <c r="E170" s="464">
        <v>888888</v>
      </c>
      <c r="F170" s="22"/>
      <c r="G170" s="5"/>
      <c r="H170" s="3"/>
    </row>
    <row r="171" spans="1:8">
      <c r="A171" s="631" t="s">
        <v>327</v>
      </c>
      <c r="B171" s="631"/>
      <c r="C171" s="631"/>
      <c r="D171" s="3"/>
      <c r="E171" s="464">
        <v>888888</v>
      </c>
      <c r="F171" s="22"/>
      <c r="G171" s="5"/>
      <c r="H171" s="3"/>
    </row>
    <row r="172" spans="1:8">
      <c r="A172" s="631" t="s">
        <v>328</v>
      </c>
      <c r="B172" s="631"/>
      <c r="C172" s="631"/>
      <c r="D172" s="3"/>
      <c r="E172" s="465">
        <v>888888</v>
      </c>
      <c r="F172" s="22"/>
      <c r="G172" s="5"/>
      <c r="H172" s="3"/>
    </row>
    <row r="173" spans="1:8" ht="13" thickBot="1">
      <c r="A173" s="5"/>
      <c r="B173" s="5"/>
      <c r="C173" s="5"/>
      <c r="D173" s="5"/>
      <c r="E173" s="5"/>
      <c r="F173" s="5"/>
      <c r="G173" s="5"/>
      <c r="H173" s="3"/>
    </row>
    <row r="174" spans="1:8" ht="13" thickBot="1">
      <c r="A174" s="444" t="s">
        <v>45</v>
      </c>
      <c r="B174" s="445"/>
      <c r="C174" s="445"/>
      <c r="D174" s="445"/>
      <c r="E174" s="445"/>
      <c r="F174" s="444"/>
      <c r="G174" s="446"/>
      <c r="H174" s="226">
        <f>ROUND(SUM($H$124,$H$137,$H$142,$H$160,$H$162,$H$164),-3)</f>
        <v>184254000</v>
      </c>
    </row>
    <row r="175" spans="1:8" ht="5.75" customHeight="1">
      <c r="A175" s="11"/>
      <c r="B175" s="11"/>
      <c r="C175" s="11"/>
      <c r="D175" s="11"/>
      <c r="E175" s="11"/>
      <c r="F175" s="11"/>
      <c r="G175" s="11"/>
      <c r="H175" s="5"/>
    </row>
    <row r="176" spans="1:8">
      <c r="A176" s="8"/>
      <c r="B176" s="5"/>
      <c r="C176" s="32">
        <f>IF(ISERR(ROUND($H$122/($B$9+$B$13),0)),0,ROUND($H$122/($B$9+$B$13),0))</f>
        <v>1134</v>
      </c>
      <c r="D176" s="23" t="s">
        <v>55</v>
      </c>
      <c r="E176" s="5"/>
      <c r="F176" s="5"/>
      <c r="G176" s="5"/>
      <c r="H176" s="5"/>
    </row>
    <row r="177" spans="1:8">
      <c r="A177" s="8"/>
      <c r="B177" s="5"/>
      <c r="C177" s="32">
        <f>IF(ISERR(ROUND($H$122/($B$10+$B$13),0)),0,ROUND($H$122/($B$10+$B$13),0))</f>
        <v>1008</v>
      </c>
      <c r="D177" s="23" t="s">
        <v>56</v>
      </c>
      <c r="E177" s="5"/>
      <c r="F177" s="5"/>
      <c r="G177" s="5"/>
      <c r="H177" s="5"/>
    </row>
    <row r="178" spans="1:8">
      <c r="A178" s="8"/>
      <c r="B178" s="5"/>
      <c r="C178" s="32">
        <f>IF(ISERR(ROUND($H$174/($B$9+$B$13),0)),0,ROUND($H$174/($B$9+$B$13),0))</f>
        <v>2731</v>
      </c>
      <c r="D178" s="23" t="s">
        <v>54</v>
      </c>
      <c r="E178" s="5"/>
      <c r="F178" s="5"/>
      <c r="G178" s="5"/>
      <c r="H178" s="5"/>
    </row>
    <row r="179" spans="1:8">
      <c r="A179" s="5"/>
      <c r="B179" s="5"/>
      <c r="C179" s="32">
        <f>IF(ISERR(ROUND($H$174/($B$10+$B$13),0)),0,ROUND($H$174/($B$10+$B$13),0))</f>
        <v>2428</v>
      </c>
      <c r="D179" s="23" t="s">
        <v>53</v>
      </c>
      <c r="E179" s="5"/>
      <c r="F179" s="5"/>
      <c r="G179" s="5"/>
      <c r="H179" s="5"/>
    </row>
    <row r="180" spans="1:8" ht="5.75" customHeight="1">
      <c r="A180" s="5"/>
      <c r="B180" s="5"/>
      <c r="C180" s="32"/>
      <c r="D180" s="23"/>
      <c r="E180" s="5"/>
      <c r="F180" s="5"/>
      <c r="G180" s="5"/>
      <c r="H180" s="5"/>
    </row>
    <row r="181" spans="1:8">
      <c r="A181" s="444" t="s">
        <v>46</v>
      </c>
      <c r="B181" s="448"/>
      <c r="C181" s="448"/>
      <c r="D181" s="448"/>
      <c r="E181" s="448"/>
      <c r="F181" s="448"/>
      <c r="G181" s="448"/>
      <c r="H181" s="448"/>
    </row>
    <row r="182" spans="1:8">
      <c r="A182" s="460" t="s">
        <v>100</v>
      </c>
      <c r="B182" s="461"/>
      <c r="C182" s="461"/>
      <c r="D182" s="461"/>
      <c r="E182" s="461"/>
      <c r="F182" s="461"/>
      <c r="G182" s="461"/>
      <c r="H182" s="462"/>
    </row>
    <row r="183" spans="1:8">
      <c r="A183" s="460" t="s">
        <v>100</v>
      </c>
      <c r="B183" s="461"/>
      <c r="C183" s="461"/>
      <c r="D183" s="461"/>
      <c r="E183" s="461"/>
      <c r="F183" s="461"/>
      <c r="G183" s="461"/>
      <c r="H183" s="462"/>
    </row>
    <row r="184" spans="1:8">
      <c r="A184" s="460" t="s">
        <v>100</v>
      </c>
      <c r="B184" s="461"/>
      <c r="C184" s="461"/>
      <c r="D184" s="461"/>
      <c r="E184" s="461"/>
      <c r="F184" s="461"/>
      <c r="G184" s="461"/>
      <c r="H184" s="462"/>
    </row>
    <row r="185" spans="1:8">
      <c r="A185" s="460" t="s">
        <v>100</v>
      </c>
      <c r="B185" s="461"/>
      <c r="C185" s="461"/>
      <c r="D185" s="461"/>
      <c r="E185" s="461"/>
      <c r="F185" s="461"/>
      <c r="G185" s="461"/>
      <c r="H185" s="462"/>
    </row>
    <row r="186" spans="1:8">
      <c r="A186" s="460" t="s">
        <v>100</v>
      </c>
      <c r="B186" s="461"/>
      <c r="C186" s="461"/>
      <c r="D186" s="461"/>
      <c r="E186" s="461"/>
      <c r="F186" s="461"/>
      <c r="G186" s="461"/>
      <c r="H186" s="462"/>
    </row>
  </sheetData>
  <sheetProtection algorithmName="SHA-512" hashValue="/EKzjD3mvSE7uV3SxY8xRaQOVyn99faSZcDILd0vZFASn9HRLjBSmQCLtN/ENAv3uv/ZD0yoPwkgntyjitCQIQ==" saltValue="PZYVo9l6izdrFTNcc7pnUQ==" spinCount="100000" sheet="1" objects="1" scenarios="1" selectLockedCells="1" selectUnlockedCells="1"/>
  <mergeCells count="72">
    <mergeCell ref="B43:C43"/>
    <mergeCell ref="B3:E3"/>
    <mergeCell ref="B41:C41"/>
    <mergeCell ref="B42:C42"/>
    <mergeCell ref="C4:E8"/>
    <mergeCell ref="B66:D66"/>
    <mergeCell ref="B44:C44"/>
    <mergeCell ref="B46:C46"/>
    <mergeCell ref="B47:C47"/>
    <mergeCell ref="B48:C48"/>
    <mergeCell ref="B49:C49"/>
    <mergeCell ref="B51:C51"/>
    <mergeCell ref="B52:C52"/>
    <mergeCell ref="B53:C53"/>
    <mergeCell ref="B55:C55"/>
    <mergeCell ref="B56:C56"/>
    <mergeCell ref="B57:C57"/>
    <mergeCell ref="B79:D79"/>
    <mergeCell ref="B67:D67"/>
    <mergeCell ref="A69:G69"/>
    <mergeCell ref="B70:D70"/>
    <mergeCell ref="B71:D71"/>
    <mergeCell ref="B72:D72"/>
    <mergeCell ref="B73:D73"/>
    <mergeCell ref="B74:D74"/>
    <mergeCell ref="B75:D75"/>
    <mergeCell ref="B76:D76"/>
    <mergeCell ref="B77:D77"/>
    <mergeCell ref="B78:D78"/>
    <mergeCell ref="B91:D91"/>
    <mergeCell ref="B80:D80"/>
    <mergeCell ref="B81:D81"/>
    <mergeCell ref="B82:D82"/>
    <mergeCell ref="B83:D83"/>
    <mergeCell ref="B84:D84"/>
    <mergeCell ref="B85:D85"/>
    <mergeCell ref="B86:D86"/>
    <mergeCell ref="B87:D87"/>
    <mergeCell ref="B88:D88"/>
    <mergeCell ref="B89:D89"/>
    <mergeCell ref="B90:D90"/>
    <mergeCell ref="B103:D103"/>
    <mergeCell ref="B92:D92"/>
    <mergeCell ref="B93:D93"/>
    <mergeCell ref="B94:D94"/>
    <mergeCell ref="B95:D95"/>
    <mergeCell ref="B96:D96"/>
    <mergeCell ref="B97:D97"/>
    <mergeCell ref="B98:D98"/>
    <mergeCell ref="B99:D99"/>
    <mergeCell ref="B100:D100"/>
    <mergeCell ref="B101:D101"/>
    <mergeCell ref="B102:D102"/>
    <mergeCell ref="A113:G113"/>
    <mergeCell ref="A104:G104"/>
    <mergeCell ref="B105:D105"/>
    <mergeCell ref="A106:G106"/>
    <mergeCell ref="B107:D107"/>
    <mergeCell ref="B108:D108"/>
    <mergeCell ref="B109:D109"/>
    <mergeCell ref="B110:D110"/>
    <mergeCell ref="B111:D111"/>
    <mergeCell ref="B112:D112"/>
    <mergeCell ref="A158:C158"/>
    <mergeCell ref="A170:C170"/>
    <mergeCell ref="A171:C171"/>
    <mergeCell ref="A172:C172"/>
    <mergeCell ref="A149:C149"/>
    <mergeCell ref="A150:C150"/>
    <mergeCell ref="A151:C151"/>
    <mergeCell ref="A156:C156"/>
    <mergeCell ref="A157:C157"/>
  </mergeCells>
  <conditionalFormatting sqref="H12">
    <cfRule type="cellIs" dxfId="144" priority="68" operator="lessThan">
      <formula>$H$11</formula>
    </cfRule>
    <cfRule type="cellIs" dxfId="143" priority="69" operator="greaterThan">
      <formula>$H$11</formula>
    </cfRule>
    <cfRule type="cellIs" dxfId="142" priority="70" operator="equal">
      <formula>$H$11</formula>
    </cfRule>
  </conditionalFormatting>
  <conditionalFormatting sqref="H59">
    <cfRule type="expression" dxfId="141" priority="67">
      <formula>($G$59="ERROR?")</formula>
    </cfRule>
  </conditionalFormatting>
  <conditionalFormatting sqref="A18:C18 E18 A21:C21 E21 A24:C24 E24 A30:C30 A33:C33 A36:C36 E30 E33 E36 A74:G74 A79:G79 A84:G84 A89:G89 A94:G94 A99:G99 A109:G109 A112:G112">
    <cfRule type="expression" dxfId="140" priority="61">
      <formula>$B$5="SP"</formula>
    </cfRule>
    <cfRule type="expression" dxfId="139" priority="62">
      <formula>$B$5="P&amp;D"</formula>
    </cfRule>
    <cfRule type="expression" dxfId="138" priority="63">
      <formula>$B$5="MP"</formula>
    </cfRule>
    <cfRule type="expression" dxfId="137" priority="64">
      <formula>$B$5="MFR"</formula>
    </cfRule>
    <cfRule type="expression" dxfId="136" priority="65">
      <formula>$B$5="IS"</formula>
    </cfRule>
    <cfRule type="expression" dxfId="135" priority="66">
      <formula>$B$5="AA"</formula>
    </cfRule>
  </conditionalFormatting>
  <conditionalFormatting sqref="A1:H1">
    <cfRule type="expression" dxfId="134" priority="55">
      <formula>$B$5="SP"</formula>
    </cfRule>
    <cfRule type="expression" dxfId="133" priority="56">
      <formula>$B$5="P&amp;D"</formula>
    </cfRule>
    <cfRule type="expression" dxfId="132" priority="57">
      <formula>$B$5="MP"</formula>
    </cfRule>
    <cfRule type="expression" dxfId="131" priority="58">
      <formula>$B$5="MFR"</formula>
    </cfRule>
    <cfRule type="expression" dxfId="130" priority="59">
      <formula>$B$5="IS"</formula>
    </cfRule>
    <cfRule type="expression" dxfId="129" priority="60">
      <formula>$B$5="AA"</formula>
    </cfRule>
  </conditionalFormatting>
  <conditionalFormatting sqref="D18 D21 D24 F18:G18 F21:G21 F24:G24 D30 D33 D36 F30:G30 F33:G33 F36:G36">
    <cfRule type="expression" dxfId="128" priority="49">
      <formula>$B$5="SP"</formula>
    </cfRule>
    <cfRule type="expression" dxfId="127" priority="50">
      <formula>$B$5="P&amp;D"</formula>
    </cfRule>
    <cfRule type="expression" dxfId="126" priority="51">
      <formula>$B$5="MP"</formula>
    </cfRule>
    <cfRule type="expression" dxfId="125" priority="52">
      <formula>$B$5="MFR"</formula>
    </cfRule>
    <cfRule type="expression" dxfId="124" priority="53">
      <formula>$B$5="IS"</formula>
    </cfRule>
    <cfRule type="expression" dxfId="123" priority="54">
      <formula>$B$5="AA"</formula>
    </cfRule>
  </conditionalFormatting>
  <conditionalFormatting sqref="A40:G40 A45:G45 A50:G50 A54:G54 A61:G61 A69:G69 A106:G106 A117:G117 A124:G124 A137:G137 A142:G142 A160:B160 A162:B162 A164:G164 A174:G174 A181:H181">
    <cfRule type="expression" dxfId="122" priority="43">
      <formula>$B$5="SP"</formula>
    </cfRule>
    <cfRule type="expression" dxfId="121" priority="44">
      <formula>$B$5="P&amp;D"</formula>
    </cfRule>
    <cfRule type="expression" dxfId="120" priority="45">
      <formula>$B$5="MP"</formula>
    </cfRule>
    <cfRule type="expression" dxfId="119" priority="46">
      <formula>$B$5="MFR"</formula>
    </cfRule>
    <cfRule type="expression" dxfId="118" priority="47">
      <formula>$B$5="IS"</formula>
    </cfRule>
    <cfRule type="expression" dxfId="117" priority="48">
      <formula>$B$5="AA"</formula>
    </cfRule>
  </conditionalFormatting>
  <conditionalFormatting sqref="D160:G160 D162:G162">
    <cfRule type="expression" dxfId="116" priority="37">
      <formula>$B$5="SP"</formula>
    </cfRule>
    <cfRule type="expression" dxfId="115" priority="38">
      <formula>$B$5="P&amp;D"</formula>
    </cfRule>
    <cfRule type="expression" dxfId="114" priority="39">
      <formula>$B$5="MP"</formula>
    </cfRule>
    <cfRule type="expression" dxfId="113" priority="40">
      <formula>$B$5="MFR"</formula>
    </cfRule>
    <cfRule type="expression" dxfId="112" priority="41">
      <formula>$B$5="IS"</formula>
    </cfRule>
    <cfRule type="expression" dxfId="111" priority="42">
      <formula>$B$5="AA"</formula>
    </cfRule>
  </conditionalFormatting>
  <conditionalFormatting sqref="B3:E3 H3:H5 H9:H10 B9:B10 B13:B14 A70:G73 A75:G78 A80:G83 A85:G88 A90:G93 A95:G98 A100:G103 E119:G119 E67 C130:C132 C138 E139 C140 C143 E144 C145 C152 C160 C162 C167 A182:H186 A22:C23 E22:E23 A19:C20 E19:E20 E168:E172 A170:D172 E154:E158 A156:D158 B41:E44 B46:E49 B51:E53 B55:E57 A34:C35 E34:E35 A31:C32 E31:E32 A110:G111 A107:G108 A149:D151 E146:E151 B4:C4 B5:B6">
    <cfRule type="expression" dxfId="110" priority="36">
      <formula>$B$5="AA"</formula>
    </cfRule>
  </conditionalFormatting>
  <conditionalFormatting sqref="B3:E3 H3:H5 H9:H10 B9:B10 B13:B14 A70:G73 A75:G78 A80:G83 A85:G88 A90:G93 A95:G98 A100:G103 E119:G119 E67 C130:C132 C138 E139 C140 C143 E144 C145 C152 C160 C162 C167 A182:H186 A22:C23 E22:E23 A19:C20 E19:E20 E168:E172 A170:D172 E154:E158 A156:D158 B41:E44 B46:E49 B51:E53 B55:E57 A34:C35 E34:E35 A31:C32 E31:E32 A110:G111 A107:G108 A149:D151 E146:E151 B4:C4 B5:B6">
    <cfRule type="expression" dxfId="109" priority="35">
      <formula>$B$5="IS"</formula>
    </cfRule>
  </conditionalFormatting>
  <conditionalFormatting sqref="B3:E3 H3:H5 H9:H10 B9:B10 B13:B14 A70:G73 A75:G78 A80:G83 A85:G88 A90:G93 A95:G98 A100:G103 E119:G119 E67 C130:C132 C138 E139 C140 C143 E144 C145 C152 C160 C162 C167 A182:H186 A22:C23 E22:E23 A19:C20 E19:E20 E168:E172 A170:D172 E154:E158 A156:D158 B41:E44 B46:E49 B51:E53 B55:E57 A34:C35 E34:E35 A31:C32 E31:E32 A110:G111 A107:G108 A149:D151 E146:E151 B4:C4 B5:B6">
    <cfRule type="expression" dxfId="108" priority="34">
      <formula>$B$5="MFR"</formula>
    </cfRule>
  </conditionalFormatting>
  <conditionalFormatting sqref="B3:E3 H3:H5 H9:H10 B9:B10 B13:B14 A70:G73 A75:G78 A80:G83 A85:G88 A90:G93 A95:G98 A100:G103 E119:G119 E67 C130:C132 C138 E139 C140 C143 E144 C145 C152 C160 C162 C167 A182:H186 A22:C23 E22:E23 A19:C20 E19:E20 E168:E172 A170:D172 E154:E158 A156:D158 B41:E44 B46:E49 B51:E53 B55:E57 A34:C35 E34:E35 A31:C32 E31:E32 A110:G111 A107:G108 A149:D151 E146:E151 B4:C4 B5:B6">
    <cfRule type="expression" dxfId="107" priority="33">
      <formula>$B$5="MP"</formula>
    </cfRule>
  </conditionalFormatting>
  <conditionalFormatting sqref="B3:E3 H3:H5 H9:H10 B9:B10 B13:B14 A70:G73 A75:G78 A80:G83 A85:G88 A90:G93 A95:G98 A100:G103 E119:G119 E67 C130:C132 C138 E139 C140 C143 E144 C145 C152 C160 C162 C167 A182:H186 A22:C23 E22:E23 A19:C20 E19:E20 E168:E172 A170:D172 E154:E158 A156:D158 B41:E44 B46:E49 B51:E53 B55:E57 A34:C35 E34:E35 A31:C32 E31:E32 A110:G111 A107:G108 A149:D151 E146:E151 B4:C4 B5:B6">
    <cfRule type="expression" dxfId="106" priority="32">
      <formula>$B$5="P&amp;D"</formula>
    </cfRule>
  </conditionalFormatting>
  <conditionalFormatting sqref="B3:E3 H3:H5 H9:H10 B9:B10 B13:B14 A70:G73 A75:G78 A80:G83 A85:G88 A90:G93 A95:G98 A100:G103 E119:G119 E67 C130:C132 C138 E139 C140 C143 E144 C145 C152 C160 C162 C167 A182:H186 A22:C23 E22:E23 A19:C20 E19:E20 E168:E172 A170:D172 E154:E158 A156:D158 B41:E44 B46:E49 B51:E53 B55:E57 A34:C35 E34:E35 A31:C32 E31:E32 A110:G111 A107:G108 A149:D151 E146:E151 B4:C4 B5:B6">
    <cfRule type="expression" dxfId="105" priority="31">
      <formula>$B$5="SP"</formula>
    </cfRule>
  </conditionalFormatting>
  <conditionalFormatting sqref="H61 H117 H124 H137 H142 H160 H162 H164 H174">
    <cfRule type="expression" dxfId="104" priority="25">
      <formula>$B$5="SP"</formula>
    </cfRule>
    <cfRule type="expression" dxfId="103" priority="26">
      <formula>$B$5="P&amp;D"</formula>
    </cfRule>
    <cfRule type="expression" dxfId="102" priority="27">
      <formula>$B$5="MP"</formula>
    </cfRule>
    <cfRule type="expression" dxfId="101" priority="28">
      <formula>$B$5="MFR"</formula>
    </cfRule>
    <cfRule type="expression" dxfId="100" priority="29">
      <formula>$B$5="IS"</formula>
    </cfRule>
    <cfRule type="expression" dxfId="99" priority="30">
      <formula>$B$5="AA"</formula>
    </cfRule>
  </conditionalFormatting>
  <conditionalFormatting sqref="E41:E44">
    <cfRule type="cellIs" dxfId="98" priority="23" operator="greaterThan">
      <formula>$F41</formula>
    </cfRule>
    <cfRule type="cellIs" dxfId="97" priority="24" operator="lessThan">
      <formula>$F41</formula>
    </cfRule>
  </conditionalFormatting>
  <conditionalFormatting sqref="E55:E57 E51:E53 E46:E49">
    <cfRule type="cellIs" dxfId="96" priority="21" operator="greaterThan">
      <formula>$F46</formula>
    </cfRule>
    <cfRule type="cellIs" dxfId="95" priority="22" operator="lessThan">
      <formula>$F46</formula>
    </cfRule>
  </conditionalFormatting>
  <conditionalFormatting sqref="H174">
    <cfRule type="expression" dxfId="94" priority="5">
      <formula>IF(AND($B5="MFR",$H6&gt;7400000),$H$174)</formula>
    </cfRule>
    <cfRule type="expression" dxfId="93" priority="6">
      <formula>IF(AND($B5="SP",$H6&gt;300000),$H$174)</formula>
    </cfRule>
    <cfRule type="expression" dxfId="92" priority="7">
      <formula>IF(AND($B5="IS",$H6&gt;7400000),$H$174)</formula>
    </cfRule>
    <cfRule type="expression" dxfId="91" priority="8">
      <formula>IF(AND($B5="AA",$H6&gt;=5000000),$H$174)</formula>
    </cfRule>
    <cfRule type="expression" dxfId="90" priority="9">
      <formula>IF(AND($B5="AA",$H6&gt;=3000000,$H6&lt;=5000000),$H$174)</formula>
    </cfRule>
  </conditionalFormatting>
  <conditionalFormatting sqref="H9">
    <cfRule type="expression" dxfId="89" priority="3">
      <formula>$H$9&gt;NOW()</formula>
    </cfRule>
  </conditionalFormatting>
  <conditionalFormatting sqref="H6">
    <cfRule type="expression" dxfId="88" priority="508">
      <formula>IF(AND($B5="MFR",$H6&gt;7400000),$H$174)</formula>
    </cfRule>
    <cfRule type="expression" dxfId="87" priority="509">
      <formula>IF(AND($B5="SP",$H6&gt;300000),$H$174)</formula>
    </cfRule>
    <cfRule type="expression" dxfId="86" priority="510">
      <formula>IF(AND($B5="IS",$H6&gt;7400000),$H$174)</formula>
    </cfRule>
    <cfRule type="expression" dxfId="85" priority="511">
      <formula>IF(AND($B5="AA",$H6&gt;=5000000),$H$174)</formula>
    </cfRule>
    <cfRule type="expression" dxfId="84" priority="512">
      <formula>IF(AND($B5="AA",$H6&gt;=3000000,$H6&lt;=5000000),$H$174)</formula>
    </cfRule>
    <cfRule type="expression" dxfId="83" priority="513">
      <formula>$B$5="SP"</formula>
    </cfRule>
    <cfRule type="expression" dxfId="82" priority="514">
      <formula>$B$5="P&amp;D"</formula>
    </cfRule>
    <cfRule type="expression" dxfId="81" priority="515">
      <formula>$B$5="MP"</formula>
    </cfRule>
    <cfRule type="expression" dxfId="80" priority="516">
      <formula>$B$5="MFR"</formula>
    </cfRule>
    <cfRule type="expression" dxfId="79" priority="517">
      <formula>$B$5="IS"</formula>
    </cfRule>
    <cfRule type="expression" dxfId="78" priority="518">
      <formula>$B$5="AA"</formula>
    </cfRule>
  </conditionalFormatting>
  <printOptions horizontalCentered="1"/>
  <pageMargins left="0.25" right="0.25" top="0.25" bottom="0.5" header="0.25" footer="0.25"/>
  <pageSetup orientation="portrait" horizontalDpi="4294967292" verticalDpi="4294967292" r:id="rId1"/>
  <headerFooter>
    <oddFooter>&amp;L&amp;"Arial Narrow,Regular"&amp;8&amp;K000000&amp;D&amp;C&amp;"Arial Narrow,Regular"&amp;8&amp;K000000PBW Guide and Sample&amp;R&amp;"Arial Narrow,Regular"&amp;8&amp;K000000&amp;P of &amp;N</oddFooter>
  </headerFooter>
  <rowBreaks count="1" manualBreakCount="1">
    <brk id="61" max="16383" man="1"/>
  </rowBreaks>
  <ignoredErrors>
    <ignoredError sqref="H12 B9:B10 B13" unlockedFormula="1"/>
  </ignoredErrors>
  <drawing r:id="rId2"/>
  <extLst>
    <ext xmlns:x14="http://schemas.microsoft.com/office/spreadsheetml/2009/9/main" uri="{78C0D931-6437-407d-A8EE-F0AAD7539E65}">
      <x14:conditionalFormattings>
        <x14:conditionalFormatting xmlns:xm="http://schemas.microsoft.com/office/excel/2006/main">
          <x14:cfRule type="cellIs" priority="1" operator="between" id="{0805E178-A61A-B043-AFAB-854F3323CF25}">
            <xm:f>LOOKUPS!$A$4</xm:f>
            <xm:f>LOOKUPS!$A$5</xm:f>
            <x14:dxf>
              <font>
                <color rgb="FF9C5700"/>
              </font>
              <fill>
                <patternFill>
                  <bgColor rgb="FFFFEB9C"/>
                </patternFill>
              </fill>
            </x14:dxf>
          </x14:cfRule>
          <x14:cfRule type="expression" priority="2" id="{689ACF5F-8D7D-8B4B-8EA2-B4E4BF045802}">
            <xm:f>$H$9&lt;LOOKUPS!$A$5</xm:f>
            <x14:dxf>
              <font>
                <color rgb="FF9C0006"/>
              </font>
              <fill>
                <patternFill>
                  <bgColor rgb="FFFFC7CE"/>
                </patternFill>
              </fill>
            </x14:dxf>
          </x14:cfRule>
          <x14:cfRule type="expression" priority="4" id="{A43A7278-CCF1-D849-91C5-F150D6279A3B}">
            <xm:f>$H$9&gt;LOOKUPS!$A$2</xm:f>
            <x14:dxf>
              <font>
                <color rgb="FF9C0006"/>
              </font>
              <fill>
                <patternFill>
                  <bgColor rgb="FFFFC7CE"/>
                </patternFill>
              </fill>
            </x14:dxf>
          </x14:cfRule>
          <xm:sqref>H9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042BB2E-6352-B548-A3F0-99A9F7501843}">
          <x14:formula1>
            <xm:f>LOOKUPS!$C$2:$C$8</xm:f>
          </x14:formula1>
          <xm:sqref>B5</xm:sqref>
        </x14:dataValidation>
        <x14:dataValidation type="list" allowBlank="1" showInputMessage="1" showErrorMessage="1" xr:uid="{27E513C5-2958-324B-822F-EACB48BD2F03}">
          <x14:formula1>
            <xm:f>LOOKUPS!$J$2:$J$20</xm:f>
          </x14:formula1>
          <xm:sqref>B4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693AE-1D1F-4747-9F8E-508E5C8FBE48}">
  <sheetPr codeName="Sheet14"/>
  <dimension ref="A1:J20"/>
  <sheetViews>
    <sheetView showGridLines="0" zoomScale="200" zoomScaleNormal="200" workbookViewId="0"/>
  </sheetViews>
  <sheetFormatPr baseColWidth="10" defaultRowHeight="12"/>
  <cols>
    <col min="3" max="3" width="13.19921875" bestFit="1" customWidth="1"/>
    <col min="4" max="4" width="24.3984375" bestFit="1" customWidth="1"/>
    <col min="6" max="6" width="11.19921875" bestFit="1" customWidth="1"/>
    <col min="7" max="7" width="13.19921875" bestFit="1" customWidth="1"/>
  </cols>
  <sheetData>
    <row r="1" spans="1:10" ht="13">
      <c r="A1" s="33" t="s">
        <v>456</v>
      </c>
      <c r="C1" s="267" t="s">
        <v>265</v>
      </c>
      <c r="F1" s="274" t="s">
        <v>280</v>
      </c>
      <c r="G1" s="33"/>
      <c r="H1" s="33"/>
      <c r="J1" s="274" t="s">
        <v>435</v>
      </c>
    </row>
    <row r="2" spans="1:10" ht="13">
      <c r="A2" s="60">
        <v>45352</v>
      </c>
      <c r="C2" s="269" t="s">
        <v>267</v>
      </c>
      <c r="D2" s="33" t="s">
        <v>273</v>
      </c>
      <c r="F2" s="275">
        <v>5000</v>
      </c>
      <c r="G2" s="275">
        <v>600000</v>
      </c>
      <c r="H2" s="33">
        <v>182.5</v>
      </c>
      <c r="J2" s="33" t="s">
        <v>436</v>
      </c>
    </row>
    <row r="3" spans="1:10" ht="13">
      <c r="A3" s="60">
        <f ca="1">TODAY()</f>
        <v>45350</v>
      </c>
      <c r="B3" s="283" t="s">
        <v>453</v>
      </c>
      <c r="C3" s="268" t="s">
        <v>268</v>
      </c>
      <c r="D3" s="33" t="s">
        <v>274</v>
      </c>
      <c r="F3" s="275">
        <v>600000</v>
      </c>
      <c r="G3" s="275">
        <v>3000000</v>
      </c>
      <c r="H3" s="33">
        <v>365</v>
      </c>
      <c r="J3" s="33" t="s">
        <v>437</v>
      </c>
    </row>
    <row r="4" spans="1:10" ht="13">
      <c r="A4" s="60">
        <f ca="1">TODAY()-730</f>
        <v>44620</v>
      </c>
      <c r="B4" s="283" t="s">
        <v>454</v>
      </c>
      <c r="C4" s="270" t="s">
        <v>269</v>
      </c>
      <c r="D4" s="33" t="s">
        <v>275</v>
      </c>
      <c r="F4" s="275">
        <v>3000000</v>
      </c>
      <c r="G4" s="275">
        <v>7400000</v>
      </c>
      <c r="H4" s="33">
        <v>547.5</v>
      </c>
      <c r="J4" s="33" t="s">
        <v>438</v>
      </c>
    </row>
    <row r="5" spans="1:10" ht="13">
      <c r="A5" s="60">
        <f ca="1">TODAY()-1460</f>
        <v>43890</v>
      </c>
      <c r="B5" s="283" t="s">
        <v>455</v>
      </c>
      <c r="C5" s="271" t="s">
        <v>270</v>
      </c>
      <c r="D5" s="33" t="s">
        <v>276</v>
      </c>
      <c r="F5" s="275">
        <v>7400000</v>
      </c>
      <c r="G5" s="275">
        <v>15000000</v>
      </c>
      <c r="H5" s="33">
        <v>912.5</v>
      </c>
      <c r="J5" s="33" t="s">
        <v>439</v>
      </c>
    </row>
    <row r="6" spans="1:10" ht="13">
      <c r="C6" s="272" t="s">
        <v>271</v>
      </c>
      <c r="D6" s="33" t="s">
        <v>277</v>
      </c>
      <c r="F6" s="275">
        <v>15000000</v>
      </c>
      <c r="G6" s="275">
        <v>30000000</v>
      </c>
      <c r="H6" s="33">
        <v>1095</v>
      </c>
      <c r="J6" s="33" t="s">
        <v>440</v>
      </c>
    </row>
    <row r="7" spans="1:10" ht="13">
      <c r="C7" s="273" t="s">
        <v>272</v>
      </c>
      <c r="D7" s="33" t="s">
        <v>278</v>
      </c>
      <c r="F7" s="275">
        <v>30000000</v>
      </c>
      <c r="G7" s="275">
        <v>1000000000</v>
      </c>
      <c r="H7" s="33">
        <v>1277.5</v>
      </c>
      <c r="J7" s="33" t="s">
        <v>441</v>
      </c>
    </row>
    <row r="8" spans="1:10" ht="13">
      <c r="C8" s="501" t="s">
        <v>100</v>
      </c>
      <c r="D8" s="33" t="s">
        <v>279</v>
      </c>
      <c r="J8" s="33" t="s">
        <v>442</v>
      </c>
    </row>
    <row r="9" spans="1:10" ht="13">
      <c r="J9" s="33" t="s">
        <v>443</v>
      </c>
    </row>
    <row r="10" spans="1:10" ht="13">
      <c r="J10" s="33" t="s">
        <v>444</v>
      </c>
    </row>
    <row r="11" spans="1:10" ht="13">
      <c r="J11" s="33" t="s">
        <v>434</v>
      </c>
    </row>
    <row r="12" spans="1:10" ht="13">
      <c r="J12" s="33" t="s">
        <v>445</v>
      </c>
    </row>
    <row r="13" spans="1:10" ht="13">
      <c r="J13" s="33" t="s">
        <v>446</v>
      </c>
    </row>
    <row r="14" spans="1:10" ht="13">
      <c r="J14" s="33" t="s">
        <v>447</v>
      </c>
    </row>
    <row r="15" spans="1:10" ht="13">
      <c r="J15" s="33" t="s">
        <v>448</v>
      </c>
    </row>
    <row r="16" spans="1:10" ht="13">
      <c r="J16" s="33" t="s">
        <v>449</v>
      </c>
    </row>
    <row r="17" spans="10:10" ht="13">
      <c r="J17" s="33" t="s">
        <v>450</v>
      </c>
    </row>
    <row r="18" spans="10:10" ht="13">
      <c r="J18" s="33"/>
    </row>
    <row r="19" spans="10:10" ht="13">
      <c r="J19" s="33"/>
    </row>
    <row r="20" spans="10:10" ht="13">
      <c r="J20" s="33" t="s">
        <v>100</v>
      </c>
    </row>
  </sheetData>
  <sheetProtection algorithmName="SHA-512" hashValue="IjxLcF5006Ypd4hemUeJ/HzqdAiyr+5dNEvniWCOHzEVySeAkJh/UQda+qs1r6cKgRFspjU2TBRD//f07d3yog==" saltValue="wA1luu2yRf5NcyQl9O+kpA==" spinCount="100000" sheet="1" scenarios="1" selectLockedCells="1" selectUnlockedCells="1"/>
  <printOptions horizontalCentered="1"/>
  <pageMargins left="0.25" right="0.25"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CB6F7-1681-9A4B-9A78-55F722376CFE}">
  <sheetPr codeName="Sheet2">
    <tabColor theme="2" tint="-0.249977111117893"/>
  </sheetPr>
  <dimension ref="A1:D51"/>
  <sheetViews>
    <sheetView showGridLines="0" view="pageLayout" zoomScaleNormal="100" workbookViewId="0">
      <selection activeCell="A5" sqref="A5"/>
    </sheetView>
  </sheetViews>
  <sheetFormatPr baseColWidth="10" defaultColWidth="10.796875" defaultRowHeight="12"/>
  <cols>
    <col min="1" max="1" width="18" customWidth="1"/>
    <col min="2" max="2" width="9.59765625" customWidth="1"/>
    <col min="3" max="3" width="57.59765625" customWidth="1"/>
    <col min="4" max="4" width="18" customWidth="1"/>
  </cols>
  <sheetData>
    <row r="1" spans="1:4" ht="13">
      <c r="A1" s="63" t="s">
        <v>117</v>
      </c>
      <c r="B1" s="33"/>
      <c r="C1" s="52" t="str">
        <f>(PBW!$B$4)</f>
        <v>X</v>
      </c>
      <c r="D1" s="33"/>
    </row>
    <row r="2" spans="1:4" ht="13">
      <c r="A2" s="63" t="s">
        <v>118</v>
      </c>
      <c r="B2" s="33"/>
      <c r="C2" s="52" t="str">
        <f>(PBW!$B$3)</f>
        <v>X</v>
      </c>
      <c r="D2" s="33"/>
    </row>
    <row r="3" spans="1:4" ht="13">
      <c r="A3" s="33"/>
      <c r="B3" s="227" t="s">
        <v>362</v>
      </c>
      <c r="C3" s="33"/>
      <c r="D3" s="33"/>
    </row>
    <row r="4" spans="1:4" ht="13">
      <c r="A4" s="60">
        <f>(PBW!$H$9)</f>
        <v>45352</v>
      </c>
      <c r="B4" s="392">
        <f>INDEX(ENR!$B$19:$M$99,MATCH(YEAR($A$4),ENR!$A$19:$A$99,1),MATCH(MONTH($A$4),ENR!$B$18:$M$18,1))</f>
        <v>8288.93</v>
      </c>
      <c r="C4" s="33" t="s">
        <v>114</v>
      </c>
      <c r="D4" s="106">
        <f>(PBW!$H$9)</f>
        <v>45352</v>
      </c>
    </row>
    <row r="5" spans="1:4" ht="13">
      <c r="A5" s="65">
        <f>(PBW!$H$10)</f>
        <v>47300</v>
      </c>
      <c r="B5" s="392">
        <f>INDEX(ENR!$B$19:$M$99,MATCH(YEAR($A$5),ENR!$A$19:$A$99,1),MATCH(MONTH($A$5),ENR!$B$18:$M$18,1))</f>
        <v>11405.817660794259</v>
      </c>
      <c r="C5" s="33" t="s">
        <v>354</v>
      </c>
      <c r="D5" s="106">
        <f>(PBW!$H$10)</f>
        <v>47300</v>
      </c>
    </row>
    <row r="6" spans="1:4" ht="13">
      <c r="A6" s="59">
        <f>($B$5/$B$4)</f>
        <v>1.3760301583912831</v>
      </c>
      <c r="B6" s="33"/>
      <c r="C6" s="33" t="s">
        <v>251</v>
      </c>
      <c r="D6" s="122">
        <f>(ENR)</f>
        <v>1.3760301583912831</v>
      </c>
    </row>
    <row r="7" spans="1:4" ht="13">
      <c r="A7" s="64"/>
      <c r="B7" s="33"/>
      <c r="C7" s="33"/>
      <c r="D7" s="33"/>
    </row>
    <row r="8" spans="1:4" ht="13">
      <c r="A8" s="64"/>
      <c r="B8" s="33"/>
      <c r="C8" s="33"/>
      <c r="D8" s="33"/>
    </row>
    <row r="9" spans="1:4" ht="13">
      <c r="A9" s="89" t="s">
        <v>162</v>
      </c>
      <c r="B9" s="33"/>
      <c r="C9" s="33"/>
      <c r="D9" s="112" t="s">
        <v>163</v>
      </c>
    </row>
    <row r="10" spans="1:4" ht="13">
      <c r="A10" s="33"/>
      <c r="B10" s="33"/>
      <c r="C10" s="33"/>
      <c r="D10" s="111"/>
    </row>
    <row r="11" spans="1:4" ht="13">
      <c r="A11" s="51">
        <f>(PBW!$E$129)</f>
        <v>0</v>
      </c>
      <c r="B11" s="111"/>
      <c r="C11" s="33" t="s">
        <v>154</v>
      </c>
      <c r="D11" s="103">
        <f>(PBW!$E$129)</f>
        <v>0</v>
      </c>
    </row>
    <row r="12" spans="1:4" ht="13">
      <c r="A12" s="53">
        <f>(PBW!$E$133)</f>
        <v>0</v>
      </c>
      <c r="B12" s="111"/>
      <c r="C12" s="33" t="s">
        <v>155</v>
      </c>
      <c r="D12" s="104">
        <f>(PBW!$E$133)</f>
        <v>0</v>
      </c>
    </row>
    <row r="13" spans="1:4" ht="13">
      <c r="A13" s="107">
        <f>SUM(A$11:A$12)</f>
        <v>0</v>
      </c>
      <c r="B13" s="111"/>
      <c r="C13" s="33" t="s">
        <v>156</v>
      </c>
      <c r="D13" s="108">
        <f>SUM(D$11:D$12)</f>
        <v>0</v>
      </c>
    </row>
    <row r="14" spans="1:4" ht="13">
      <c r="A14" s="51">
        <f>(PBW!$E$130)</f>
        <v>0</v>
      </c>
      <c r="B14" s="119">
        <f>(PBW!$C$130)</f>
        <v>0</v>
      </c>
      <c r="C14" s="33" t="s">
        <v>107</v>
      </c>
      <c r="D14" s="103">
        <f>(PBW!$E$130)</f>
        <v>0</v>
      </c>
    </row>
    <row r="15" spans="1:4" ht="13">
      <c r="A15" s="51">
        <f>(PBW!$E$131)</f>
        <v>0</v>
      </c>
      <c r="B15" s="119">
        <f>(PBW!$C$131)</f>
        <v>0</v>
      </c>
      <c r="C15" s="33" t="s">
        <v>427</v>
      </c>
      <c r="D15" s="103">
        <f>(PBW!$E$131)</f>
        <v>0</v>
      </c>
    </row>
    <row r="16" spans="1:4" ht="13">
      <c r="A16" s="53">
        <f>(PBW!$E$132)</f>
        <v>0</v>
      </c>
      <c r="B16" s="119">
        <f>(PBW!$C$132)</f>
        <v>0</v>
      </c>
      <c r="C16" s="33" t="s">
        <v>116</v>
      </c>
      <c r="D16" s="104">
        <f>(PBW!$E$132)</f>
        <v>0</v>
      </c>
    </row>
    <row r="17" spans="1:4" ht="13">
      <c r="A17" s="107">
        <f>(PBW!$E$134)</f>
        <v>0</v>
      </c>
      <c r="B17" s="119"/>
      <c r="C17" s="33" t="s">
        <v>157</v>
      </c>
      <c r="D17" s="108">
        <f>(PBW!$E$134)</f>
        <v>0</v>
      </c>
    </row>
    <row r="18" spans="1:4" ht="13">
      <c r="A18" s="53">
        <f>(A$19-A$17)</f>
        <v>0</v>
      </c>
      <c r="B18" s="122">
        <f>($A$6)</f>
        <v>1.3760301583912831</v>
      </c>
      <c r="C18" s="33" t="s">
        <v>250</v>
      </c>
      <c r="D18" s="104">
        <f>(D$19-D$17)</f>
        <v>0</v>
      </c>
    </row>
    <row r="19" spans="1:4" ht="13">
      <c r="A19" s="107">
        <f>ROUND(($A$17*$B$18),-3)</f>
        <v>0</v>
      </c>
      <c r="B19" s="123"/>
      <c r="C19" s="33" t="s">
        <v>158</v>
      </c>
      <c r="D19" s="108">
        <f>(TOTCONST)</f>
        <v>0</v>
      </c>
    </row>
    <row r="20" spans="1:4" ht="13">
      <c r="A20" s="51"/>
      <c r="B20" s="123"/>
      <c r="C20" s="33"/>
      <c r="D20" s="103"/>
    </row>
    <row r="21" spans="1:4" ht="13">
      <c r="A21" s="51"/>
      <c r="B21" s="123"/>
      <c r="C21" s="33"/>
      <c r="D21" s="103"/>
    </row>
    <row r="22" spans="1:4" ht="13">
      <c r="A22" s="51"/>
      <c r="B22" s="123"/>
      <c r="C22" s="33"/>
      <c r="D22" s="103"/>
    </row>
    <row r="23" spans="1:4" ht="13">
      <c r="A23" s="109">
        <f>($A$19)</f>
        <v>0</v>
      </c>
      <c r="B23" s="111"/>
      <c r="C23" s="33" t="s">
        <v>121</v>
      </c>
      <c r="D23" s="110">
        <f>(TOTCONST)</f>
        <v>0</v>
      </c>
    </row>
    <row r="24" spans="1:4" ht="13">
      <c r="A24" s="51"/>
      <c r="B24" s="111"/>
      <c r="C24" s="33"/>
      <c r="D24" s="103"/>
    </row>
    <row r="25" spans="1:4" ht="13">
      <c r="A25" s="51">
        <f>IF($A$23=0,0,ROUND($A$23*$B25,-3))</f>
        <v>0</v>
      </c>
      <c r="B25" s="119" t="str">
        <f>(PBW_Summary!$G$29)</f>
        <v/>
      </c>
      <c r="C25" s="33" t="s">
        <v>108</v>
      </c>
      <c r="D25" s="103">
        <f>(PBW!$H$137)</f>
        <v>0</v>
      </c>
    </row>
    <row r="26" spans="1:4" ht="13">
      <c r="A26" s="53">
        <f>IF($A$23=0,0,ROUND($A$23*$B26,-3))</f>
        <v>0</v>
      </c>
      <c r="B26" s="119" t="str">
        <f>(PBW_Summary!$G$30)</f>
        <v/>
      </c>
      <c r="C26" s="33" t="s">
        <v>109</v>
      </c>
      <c r="D26" s="104">
        <f>(PBW!$H$142)</f>
        <v>0</v>
      </c>
    </row>
    <row r="27" spans="1:4" ht="13">
      <c r="A27" s="109">
        <f>ROUND(SUM(A$25:A$26),-3)</f>
        <v>0</v>
      </c>
      <c r="B27" s="111"/>
      <c r="C27" s="33" t="s">
        <v>110</v>
      </c>
      <c r="D27" s="110">
        <f>ROUND(SUM(D$25:D$26),-3)</f>
        <v>0</v>
      </c>
    </row>
    <row r="28" spans="1:4" ht="13">
      <c r="A28" s="51"/>
      <c r="B28" s="111"/>
      <c r="C28" s="33"/>
      <c r="D28" s="103"/>
    </row>
    <row r="29" spans="1:4" ht="13">
      <c r="A29" s="109">
        <f>IF($A$23=0,0,ROUND($A$23*$B29,-3))</f>
        <v>0</v>
      </c>
      <c r="B29" s="119" t="str">
        <f>(PBW_Summary!$G$32)</f>
        <v/>
      </c>
      <c r="C29" s="33" t="s">
        <v>111</v>
      </c>
      <c r="D29" s="110">
        <f>(PBW!$H$160)</f>
        <v>0</v>
      </c>
    </row>
    <row r="30" spans="1:4" ht="13">
      <c r="A30" s="51"/>
      <c r="B30" s="120"/>
      <c r="C30" s="33"/>
      <c r="D30" s="103"/>
    </row>
    <row r="31" spans="1:4" ht="13">
      <c r="A31" s="109">
        <f>IF($A$23=0,0,ROUND($A$23*$B31,-3))</f>
        <v>0</v>
      </c>
      <c r="B31" s="119" t="str">
        <f>(PBW_Summary!$G$34)</f>
        <v/>
      </c>
      <c r="C31" s="33" t="s">
        <v>112</v>
      </c>
      <c r="D31" s="110">
        <f>(PBW!$H$162)</f>
        <v>0</v>
      </c>
    </row>
    <row r="32" spans="1:4" ht="13">
      <c r="A32" s="51"/>
      <c r="B32" s="120"/>
      <c r="C32" s="33"/>
      <c r="D32" s="103"/>
    </row>
    <row r="33" spans="1:4" ht="13">
      <c r="A33" s="51">
        <f>ROUND((PBW!$G$153),-3)</f>
        <v>0</v>
      </c>
      <c r="B33" s="119" t="str">
        <f>(PBW_Summary!$G$37)</f>
        <v/>
      </c>
      <c r="C33" s="33" t="s">
        <v>159</v>
      </c>
      <c r="D33" s="103">
        <f>(PBW!$G$153)</f>
        <v>0</v>
      </c>
    </row>
    <row r="34" spans="1:4" ht="13">
      <c r="A34" s="53">
        <f>ROUND((PBW!$G$166),-3)</f>
        <v>0</v>
      </c>
      <c r="B34" s="119" t="str">
        <f>(PBW_Summary!$G$38)</f>
        <v/>
      </c>
      <c r="C34" s="33" t="s">
        <v>160</v>
      </c>
      <c r="D34" s="104">
        <f>(PBW!$G$166)</f>
        <v>0</v>
      </c>
    </row>
    <row r="35" spans="1:4" ht="13">
      <c r="A35" s="109">
        <f>ROUND(SUM(A$33:A$34),-3)</f>
        <v>0</v>
      </c>
      <c r="B35" s="119" t="str">
        <f>(PBW_Summary!$G$36)</f>
        <v/>
      </c>
      <c r="C35" s="33" t="s">
        <v>161</v>
      </c>
      <c r="D35" s="110">
        <f>(PBW!$H$164)</f>
        <v>0</v>
      </c>
    </row>
    <row r="36" spans="1:4" ht="14" thickBot="1">
      <c r="A36" s="51"/>
      <c r="B36" s="111"/>
      <c r="C36" s="33"/>
      <c r="D36" s="103"/>
    </row>
    <row r="37" spans="1:4" ht="14" thickBot="1">
      <c r="A37" s="55">
        <f>ROUND(SUM(A$23,A$27,A$29,A$31,A$35),-3)</f>
        <v>0</v>
      </c>
      <c r="B37" s="124"/>
      <c r="C37" s="52" t="s">
        <v>113</v>
      </c>
      <c r="D37" s="105">
        <f>(PBW!$H$174)</f>
        <v>0</v>
      </c>
    </row>
    <row r="38" spans="1:4" ht="13">
      <c r="A38" s="33"/>
      <c r="B38" s="33"/>
      <c r="C38" s="33"/>
      <c r="D38" s="88"/>
    </row>
    <row r="39" spans="1:4" ht="13">
      <c r="A39" s="62" t="s">
        <v>115</v>
      </c>
      <c r="B39" s="33"/>
      <c r="C39" s="33"/>
      <c r="D39" s="88"/>
    </row>
    <row r="40" spans="1:4" ht="13">
      <c r="A40" s="33"/>
      <c r="B40" s="33"/>
      <c r="C40" s="33"/>
      <c r="D40" s="88"/>
    </row>
    <row r="41" spans="1:4" ht="12" customHeight="1">
      <c r="A41" s="562" t="s">
        <v>120</v>
      </c>
      <c r="B41" s="562"/>
      <c r="C41" s="562"/>
      <c r="D41" s="562"/>
    </row>
    <row r="42" spans="1:4" ht="12" customHeight="1">
      <c r="A42" s="562"/>
      <c r="B42" s="562"/>
      <c r="C42" s="562"/>
      <c r="D42" s="562"/>
    </row>
    <row r="43" spans="1:4" ht="12" customHeight="1">
      <c r="A43" s="562"/>
      <c r="B43" s="562"/>
      <c r="C43" s="562"/>
      <c r="D43" s="562"/>
    </row>
    <row r="44" spans="1:4" ht="12" customHeight="1">
      <c r="A44" s="562"/>
      <c r="B44" s="562"/>
      <c r="C44" s="562"/>
      <c r="D44" s="562"/>
    </row>
    <row r="45" spans="1:4" ht="12" customHeight="1">
      <c r="A45" s="562"/>
      <c r="B45" s="562"/>
      <c r="C45" s="562"/>
      <c r="D45" s="562"/>
    </row>
    <row r="46" spans="1:4" ht="12" customHeight="1">
      <c r="A46" s="562"/>
      <c r="B46" s="562"/>
      <c r="C46" s="562"/>
      <c r="D46" s="562"/>
    </row>
    <row r="47" spans="1:4" ht="12" customHeight="1">
      <c r="A47" s="562"/>
      <c r="B47" s="562"/>
      <c r="C47" s="562"/>
      <c r="D47" s="562"/>
    </row>
    <row r="48" spans="1:4" ht="12" customHeight="1">
      <c r="A48" s="562"/>
      <c r="B48" s="562"/>
      <c r="C48" s="562"/>
      <c r="D48" s="562"/>
    </row>
    <row r="49" spans="1:4" ht="12" customHeight="1">
      <c r="A49" s="562"/>
      <c r="B49" s="562"/>
      <c r="C49" s="562"/>
      <c r="D49" s="562"/>
    </row>
    <row r="50" spans="1:4" ht="12" customHeight="1">
      <c r="A50" s="562"/>
      <c r="B50" s="562"/>
      <c r="C50" s="562"/>
      <c r="D50" s="562"/>
    </row>
    <row r="51" spans="1:4" ht="12" customHeight="1">
      <c r="A51" s="562"/>
      <c r="B51" s="562"/>
      <c r="C51" s="562"/>
      <c r="D51" s="562"/>
    </row>
  </sheetData>
  <sheetProtection algorithmName="SHA-512" hashValue="KTUgqKOwueH6bjE3InKdtC3FvjvKjPlL5m436ZjzadGLJuomYlF8xtUGyBjKkhlfL0b6aU6hJAidYpREfhf14w==" saltValue="Zj8h2ENUrOQRdhqwzeIsHg==" spinCount="100000" sheet="1" selectLockedCells="1"/>
  <mergeCells count="1">
    <mergeCell ref="A41:D51"/>
  </mergeCells>
  <pageMargins left="0.5" right="0.5" top="0.75" bottom="0.5" header="0.25" footer="0.25"/>
  <pageSetup orientation="portrait" horizontalDpi="0" verticalDpi="0"/>
  <headerFooter>
    <oddHeader>&amp;C&amp;"Arial Narrow Bold,Bold"&amp;18&amp;K000000Quick Inflation Date Update (QIDU) Worksheet</oddHeader>
    <oddFooter>&amp;L&amp;"Arial Narrow,Regular"&amp;8&amp;D&amp;C&amp;"Arial Narrow,Regular"&amp;8PBW Quick Inflation Date Upate (QIDU)
&amp;R&amp;"Arial Narrow,Regular"&amp;8&amp;P of &amp;N</oddFooter>
  </headerFooter>
  <ignoredErrors>
    <ignoredError sqref="A5"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sheetPr>
  <dimension ref="A1:U59"/>
  <sheetViews>
    <sheetView showGridLines="0" view="pageLayout" workbookViewId="0">
      <selection activeCell="B3" sqref="B3:E3"/>
    </sheetView>
  </sheetViews>
  <sheetFormatPr baseColWidth="10" defaultColWidth="9.19921875" defaultRowHeight="12"/>
  <cols>
    <col min="1" max="1" width="21" customWidth="1"/>
    <col min="2" max="2" width="12.3984375" customWidth="1"/>
    <col min="3" max="3" width="11.796875" customWidth="1"/>
    <col min="4" max="4" width="11.796875" bestFit="1" customWidth="1"/>
    <col min="5" max="5" width="23.59765625" customWidth="1"/>
    <col min="8" max="8" width="13.796875" customWidth="1"/>
    <col min="9" max="10" width="10.796875" customWidth="1"/>
    <col min="11" max="11" width="53.59765625" bestFit="1" customWidth="1"/>
  </cols>
  <sheetData>
    <row r="1" spans="1:21" ht="13">
      <c r="A1" s="429" t="s">
        <v>433</v>
      </c>
      <c r="B1" s="430"/>
      <c r="C1" s="430"/>
      <c r="D1" s="430"/>
      <c r="E1" s="430"/>
      <c r="F1" s="430"/>
      <c r="G1" s="430"/>
      <c r="H1" s="431" t="str">
        <f>"PROJECT BUDGET WORKSHEET SUMMARY"&amp;" "&amp;VERSION</f>
        <v>PROJECT BUDGET WORKSHEET SUMMARY Rev. 2024-03</v>
      </c>
      <c r="I1" s="565" t="s">
        <v>224</v>
      </c>
      <c r="J1" s="566"/>
      <c r="K1" s="566"/>
      <c r="L1" s="566"/>
      <c r="M1" s="566"/>
      <c r="N1" s="566"/>
      <c r="O1" s="566"/>
    </row>
    <row r="2" spans="1:21">
      <c r="A2" s="5"/>
      <c r="B2" s="5"/>
      <c r="C2" s="5"/>
      <c r="D2" s="5"/>
      <c r="E2" s="5"/>
      <c r="F2" s="1" t="s">
        <v>20</v>
      </c>
      <c r="G2" s="5"/>
      <c r="H2" s="5"/>
      <c r="I2" s="295">
        <f>(PBW!$H$61)</f>
        <v>0</v>
      </c>
      <c r="J2" s="5"/>
      <c r="K2" s="300" t="s">
        <v>137</v>
      </c>
      <c r="L2" s="300"/>
      <c r="M2" s="300"/>
      <c r="N2" s="300"/>
      <c r="O2" s="300"/>
      <c r="P2" s="5"/>
      <c r="Q2" s="5"/>
      <c r="R2" s="5"/>
      <c r="S2" s="5"/>
      <c r="T2" s="5"/>
      <c r="U2" s="5"/>
    </row>
    <row r="3" spans="1:21">
      <c r="A3" s="2" t="s">
        <v>21</v>
      </c>
      <c r="B3" s="567" t="str">
        <f>UPPER(PBW!$B$3)</f>
        <v>X</v>
      </c>
      <c r="C3" s="567"/>
      <c r="D3" s="567"/>
      <c r="E3" s="567"/>
      <c r="F3" s="1" t="s">
        <v>171</v>
      </c>
      <c r="G3" s="5"/>
      <c r="H3" s="25">
        <f ca="1">(PBW!$H$3)</f>
        <v>45350.908241550926</v>
      </c>
      <c r="I3" s="295">
        <f>(PBW!$H$67)</f>
        <v>0</v>
      </c>
      <c r="J3" s="5"/>
      <c r="K3" s="300" t="s">
        <v>218</v>
      </c>
      <c r="L3" s="300"/>
      <c r="M3" s="300"/>
      <c r="N3" s="300"/>
      <c r="O3" s="300"/>
      <c r="P3" s="5"/>
      <c r="Q3" s="5"/>
      <c r="R3" s="5"/>
      <c r="S3" s="5"/>
      <c r="T3" s="5"/>
      <c r="U3" s="5"/>
    </row>
    <row r="4" spans="1:21">
      <c r="A4" s="2" t="s">
        <v>101</v>
      </c>
      <c r="B4" s="5" t="str">
        <f>UPPER(PBW!$B$4)</f>
        <v>X</v>
      </c>
      <c r="C4" s="569"/>
      <c r="D4" s="569"/>
      <c r="E4" s="569"/>
      <c r="F4" s="1" t="s">
        <v>172</v>
      </c>
      <c r="G4" s="5"/>
      <c r="H4" s="404" t="str">
        <f>UPPER(PBW!$H$4)</f>
        <v>XXX</v>
      </c>
      <c r="I4" s="295">
        <f>(PBW!$H$104)</f>
        <v>0</v>
      </c>
      <c r="J4" s="5"/>
      <c r="K4" s="300" t="s">
        <v>135</v>
      </c>
      <c r="L4" s="300"/>
      <c r="M4" s="300"/>
      <c r="N4" s="300"/>
      <c r="O4" s="300"/>
      <c r="P4" s="5"/>
      <c r="Q4" s="5"/>
      <c r="R4" s="5"/>
      <c r="S4" s="5"/>
      <c r="T4" s="5"/>
      <c r="U4" s="5"/>
    </row>
    <row r="5" spans="1:21">
      <c r="A5" s="11" t="s">
        <v>266</v>
      </c>
      <c r="B5" s="3" t="str">
        <f>UPPER(PBW!$C$5)</f>
        <v/>
      </c>
      <c r="C5" s="569"/>
      <c r="D5" s="569"/>
      <c r="E5" s="569"/>
      <c r="F5" s="5" t="s">
        <v>52</v>
      </c>
      <c r="G5" s="5"/>
      <c r="H5" s="26" t="str">
        <f>UPPER(PBW!$H$5)</f>
        <v>XXX</v>
      </c>
      <c r="I5" s="296">
        <f>(PBW!$H$113)</f>
        <v>0</v>
      </c>
      <c r="J5" s="5"/>
      <c r="K5" s="300" t="s">
        <v>226</v>
      </c>
      <c r="L5" s="300"/>
      <c r="M5" s="300"/>
      <c r="N5" s="300"/>
      <c r="O5" s="300"/>
      <c r="P5" s="5"/>
      <c r="Q5" s="5"/>
      <c r="R5" s="5"/>
      <c r="S5" s="5"/>
      <c r="T5" s="5"/>
      <c r="U5" s="5"/>
    </row>
    <row r="6" spans="1:21">
      <c r="A6" s="2" t="s">
        <v>102</v>
      </c>
      <c r="B6" s="5" t="str">
        <f>UPPER(PBW!$B$6)</f>
        <v>X</v>
      </c>
      <c r="C6" s="569"/>
      <c r="D6" s="569"/>
      <c r="E6" s="569"/>
      <c r="F6" s="2" t="s">
        <v>22</v>
      </c>
      <c r="G6" s="5"/>
      <c r="H6" s="67">
        <f>(PBW!$H$6)</f>
        <v>0</v>
      </c>
      <c r="I6" s="297">
        <f>(PBW!$H$115)</f>
        <v>0</v>
      </c>
      <c r="J6" s="11"/>
      <c r="K6" s="302" t="s">
        <v>136</v>
      </c>
      <c r="L6" s="300"/>
      <c r="M6" s="300"/>
      <c r="N6" s="300"/>
      <c r="O6" s="300"/>
      <c r="P6" s="5"/>
      <c r="Q6" s="5"/>
      <c r="R6" s="5"/>
      <c r="S6" s="5"/>
      <c r="T6" s="5"/>
      <c r="U6" s="5"/>
    </row>
    <row r="7" spans="1:21">
      <c r="A7" s="5"/>
      <c r="B7" s="5"/>
      <c r="C7" s="569"/>
      <c r="D7" s="569"/>
      <c r="E7" s="569"/>
      <c r="F7" s="5"/>
      <c r="G7" s="5"/>
      <c r="H7" s="5"/>
      <c r="I7" s="295">
        <f>ROUND(($I$6*$J$7),-3)</f>
        <v>0</v>
      </c>
      <c r="J7" s="303">
        <f>(PBW!$C$130)</f>
        <v>0</v>
      </c>
      <c r="K7" s="300" t="s">
        <v>219</v>
      </c>
      <c r="L7" s="300"/>
      <c r="M7" s="300"/>
      <c r="N7" s="300"/>
      <c r="O7" s="300"/>
      <c r="P7" s="5"/>
      <c r="Q7" s="5"/>
      <c r="R7" s="5"/>
      <c r="S7" s="5"/>
      <c r="T7" s="5"/>
      <c r="U7" s="5"/>
    </row>
    <row r="8" spans="1:21">
      <c r="A8" s="2" t="s">
        <v>23</v>
      </c>
      <c r="B8" s="5"/>
      <c r="C8" s="569"/>
      <c r="D8" s="569"/>
      <c r="E8" s="569"/>
      <c r="F8" s="5"/>
      <c r="G8" s="5"/>
      <c r="H8" s="5"/>
      <c r="I8" s="295">
        <f>ROUND(($I$6*$J$8),-3)</f>
        <v>0</v>
      </c>
      <c r="J8" s="303">
        <f>(PBW!$C$132)</f>
        <v>0</v>
      </c>
      <c r="K8" s="300" t="s">
        <v>220</v>
      </c>
      <c r="L8" s="300"/>
      <c r="M8" s="300"/>
      <c r="N8" s="300"/>
      <c r="O8" s="300"/>
      <c r="P8" s="5"/>
      <c r="Q8" s="5"/>
      <c r="R8" s="5"/>
      <c r="S8" s="5"/>
      <c r="T8" s="5"/>
      <c r="U8" s="5"/>
    </row>
    <row r="9" spans="1:21">
      <c r="A9" s="1" t="s">
        <v>24</v>
      </c>
      <c r="B9" s="28">
        <f>(PBW!$B$9)</f>
        <v>0</v>
      </c>
      <c r="C9" s="5"/>
      <c r="D9" s="5"/>
      <c r="E9" s="5"/>
      <c r="F9" s="1" t="s">
        <v>61</v>
      </c>
      <c r="G9" s="5"/>
      <c r="H9" s="405">
        <f>(PBW!$H$9)</f>
        <v>45352</v>
      </c>
      <c r="I9" s="298">
        <f>(PBW!$H$119)</f>
        <v>0</v>
      </c>
      <c r="J9" s="5"/>
      <c r="K9" s="300" t="s">
        <v>83</v>
      </c>
      <c r="L9" s="300"/>
      <c r="M9" s="300"/>
      <c r="N9" s="300"/>
      <c r="O9" s="300"/>
      <c r="P9" s="5"/>
      <c r="Q9" s="5"/>
      <c r="R9" s="5"/>
      <c r="S9" s="5"/>
      <c r="T9" s="5"/>
      <c r="U9" s="5"/>
    </row>
    <row r="10" spans="1:21">
      <c r="A10" s="1" t="s">
        <v>25</v>
      </c>
      <c r="B10" s="28">
        <f>(PBW!$B$10)</f>
        <v>0</v>
      </c>
      <c r="C10" s="4">
        <f>(PBW!$C$10)</f>
        <v>0</v>
      </c>
      <c r="D10" s="5" t="s">
        <v>57</v>
      </c>
      <c r="E10" s="5"/>
      <c r="F10" s="1" t="s">
        <v>248</v>
      </c>
      <c r="G10" s="5"/>
      <c r="H10" s="5">
        <f>(PBW!$G$9)</f>
        <v>8288.93</v>
      </c>
      <c r="I10" s="297">
        <f>(PBW!$H$117)</f>
        <v>0</v>
      </c>
      <c r="J10" s="11"/>
      <c r="K10" s="302" t="s">
        <v>221</v>
      </c>
      <c r="L10" s="300"/>
      <c r="M10" s="300"/>
      <c r="N10" s="300"/>
      <c r="O10" s="300"/>
      <c r="P10" s="5"/>
      <c r="Q10" s="5"/>
      <c r="R10" s="5"/>
      <c r="S10" s="5"/>
      <c r="T10" s="5"/>
      <c r="U10" s="5"/>
    </row>
    <row r="11" spans="1:21">
      <c r="A11" s="5"/>
      <c r="B11" s="3"/>
      <c r="C11" s="5"/>
      <c r="D11" s="5"/>
      <c r="E11" s="5"/>
      <c r="F11" s="1" t="s">
        <v>245</v>
      </c>
      <c r="G11" s="5"/>
      <c r="H11" s="406">
        <f>(PBW!$H$10)</f>
        <v>47300</v>
      </c>
      <c r="I11" s="298">
        <f>ROUND(($I$10*$J$11),-3)</f>
        <v>0</v>
      </c>
      <c r="J11" s="304">
        <f>(ENR)</f>
        <v>1.3760301583912831</v>
      </c>
      <c r="K11" s="300" t="s">
        <v>222</v>
      </c>
      <c r="L11" s="300"/>
      <c r="M11" s="300"/>
      <c r="N11" s="300"/>
      <c r="O11" s="300"/>
      <c r="P11" s="5"/>
      <c r="Q11" s="5"/>
      <c r="R11" s="5"/>
      <c r="S11" s="5"/>
      <c r="T11" s="5"/>
      <c r="U11" s="5"/>
    </row>
    <row r="12" spans="1:21">
      <c r="A12" s="5"/>
      <c r="B12" s="3"/>
      <c r="C12" s="5"/>
      <c r="D12" s="5"/>
      <c r="E12" s="5"/>
      <c r="F12" s="1" t="s">
        <v>247</v>
      </c>
      <c r="G12" s="5"/>
      <c r="H12" s="340">
        <f>(PBW!$G$10)</f>
        <v>11405.817660794259</v>
      </c>
      <c r="I12" s="297">
        <f>($I$11-$I$10)</f>
        <v>0</v>
      </c>
      <c r="J12" s="247"/>
      <c r="K12" s="302" t="s">
        <v>223</v>
      </c>
      <c r="L12" s="300"/>
      <c r="M12" s="300"/>
      <c r="N12" s="300"/>
      <c r="O12" s="300"/>
      <c r="P12" s="5"/>
      <c r="Q12" s="5"/>
      <c r="R12" s="5"/>
      <c r="S12" s="5"/>
      <c r="T12" s="5"/>
      <c r="U12" s="5"/>
    </row>
    <row r="13" spans="1:21">
      <c r="A13" s="2" t="s">
        <v>26</v>
      </c>
      <c r="B13" s="3"/>
      <c r="C13" s="5"/>
      <c r="D13" s="5"/>
      <c r="E13" s="5"/>
      <c r="F13" s="1" t="s">
        <v>27</v>
      </c>
      <c r="G13" s="5"/>
      <c r="H13" s="118">
        <f>(ENR)</f>
        <v>1.3760301583912831</v>
      </c>
      <c r="I13" s="5"/>
      <c r="J13" s="5"/>
      <c r="K13" s="5"/>
      <c r="L13" s="5"/>
      <c r="M13" s="5"/>
      <c r="N13" s="5"/>
      <c r="O13" s="5"/>
      <c r="P13" s="5"/>
      <c r="Q13" s="5"/>
      <c r="R13" s="5"/>
      <c r="S13" s="5"/>
      <c r="T13" s="5"/>
      <c r="U13" s="5"/>
    </row>
    <row r="14" spans="1:21" ht="13">
      <c r="A14" s="1" t="s">
        <v>28</v>
      </c>
      <c r="B14" s="28">
        <f>PBW!B13</f>
        <v>0</v>
      </c>
      <c r="C14" s="5"/>
      <c r="D14" s="5"/>
      <c r="E14" s="5"/>
      <c r="F14" s="5"/>
      <c r="G14" s="5"/>
      <c r="H14" s="5"/>
      <c r="I14" s="565" t="s">
        <v>225</v>
      </c>
      <c r="J14" s="566"/>
      <c r="K14" s="566"/>
      <c r="L14" s="566"/>
      <c r="M14" s="566"/>
      <c r="N14" s="566"/>
      <c r="O14" s="566"/>
      <c r="P14" s="5"/>
      <c r="Q14" s="5"/>
      <c r="R14" s="5"/>
      <c r="S14" s="5"/>
      <c r="T14" s="5"/>
      <c r="U14" s="5"/>
    </row>
    <row r="15" spans="1:21">
      <c r="A15" s="1" t="s">
        <v>29</v>
      </c>
      <c r="B15" s="28">
        <f>PBW!B14</f>
        <v>0</v>
      </c>
      <c r="C15" s="4">
        <f>PBW!C14</f>
        <v>0</v>
      </c>
      <c r="D15" s="5" t="s">
        <v>58</v>
      </c>
      <c r="E15" s="5"/>
      <c r="F15" s="1" t="s">
        <v>170</v>
      </c>
      <c r="G15" s="5"/>
      <c r="H15" s="405" t="str">
        <f>(PBW!$H$14)</f>
        <v/>
      </c>
      <c r="I15" s="295">
        <f>(PBW!$H$113)</f>
        <v>0</v>
      </c>
      <c r="J15" s="5"/>
      <c r="K15" s="300" t="s">
        <v>227</v>
      </c>
      <c r="L15" s="5"/>
      <c r="M15" s="5"/>
      <c r="N15" s="5"/>
      <c r="O15" s="5"/>
      <c r="P15" s="5"/>
      <c r="Q15" s="5"/>
      <c r="R15" s="5"/>
      <c r="S15" s="5"/>
      <c r="T15" s="5"/>
      <c r="U15" s="5"/>
    </row>
    <row r="16" spans="1:21">
      <c r="A16" s="1"/>
      <c r="B16" s="3"/>
      <c r="C16" s="4"/>
      <c r="D16" s="5"/>
      <c r="E16" s="5"/>
      <c r="F16" s="1"/>
      <c r="G16" s="5"/>
      <c r="H16" s="68"/>
      <c r="I16" s="295">
        <f>(PBW!$G$153)</f>
        <v>0</v>
      </c>
      <c r="J16" s="303">
        <f>(PBW!$C$152)</f>
        <v>0</v>
      </c>
      <c r="K16" s="300" t="s">
        <v>228</v>
      </c>
      <c r="L16" s="305">
        <f>(PBW!$E$152)</f>
        <v>0</v>
      </c>
      <c r="M16" s="304" t="s">
        <v>230</v>
      </c>
      <c r="N16" s="304"/>
      <c r="O16" s="304"/>
      <c r="P16" s="5"/>
      <c r="Q16" s="5"/>
      <c r="R16" s="5"/>
      <c r="S16" s="5"/>
      <c r="T16" s="5"/>
      <c r="U16" s="5"/>
    </row>
    <row r="17" spans="1:21">
      <c r="A17" s="1"/>
      <c r="B17" s="3"/>
      <c r="C17" s="32">
        <f>(PBW!$C$176)</f>
        <v>0</v>
      </c>
      <c r="D17" s="23" t="s">
        <v>55</v>
      </c>
      <c r="E17" s="5"/>
      <c r="F17" s="1"/>
      <c r="G17" s="5"/>
      <c r="H17" s="68"/>
      <c r="I17" s="299">
        <f>(PBW!$G$166)</f>
        <v>0</v>
      </c>
      <c r="J17" s="303">
        <f>(PBW!$C$167)</f>
        <v>0</v>
      </c>
      <c r="K17" s="300" t="s">
        <v>229</v>
      </c>
      <c r="L17" s="305">
        <f>(PBW!$E$167)</f>
        <v>0</v>
      </c>
      <c r="M17" s="304" t="s">
        <v>231</v>
      </c>
      <c r="N17" s="304"/>
      <c r="O17" s="306" t="str">
        <f>IF($L$17&gt;0,($L$17/$I$17),"")</f>
        <v/>
      </c>
      <c r="P17" s="5"/>
      <c r="Q17" s="5"/>
      <c r="R17" s="5"/>
      <c r="S17" s="5"/>
      <c r="T17" s="5"/>
      <c r="U17" s="5"/>
    </row>
    <row r="18" spans="1:21">
      <c r="A18" s="1"/>
      <c r="B18" s="3"/>
      <c r="C18" s="32">
        <f>(PBW!$C$177)</f>
        <v>0</v>
      </c>
      <c r="D18" s="23" t="s">
        <v>56</v>
      </c>
      <c r="E18" s="5"/>
      <c r="F18" s="1"/>
      <c r="G18" s="5"/>
      <c r="H18" s="68"/>
      <c r="I18" s="297">
        <f>(PBW!$H$164)</f>
        <v>0</v>
      </c>
      <c r="J18" s="11"/>
      <c r="K18" s="302" t="s">
        <v>232</v>
      </c>
      <c r="L18" s="11"/>
      <c r="M18" s="11"/>
      <c r="N18" s="11"/>
      <c r="O18" s="11"/>
      <c r="P18" s="5"/>
      <c r="Q18" s="5"/>
      <c r="R18" s="5"/>
      <c r="S18" s="5"/>
      <c r="T18" s="5"/>
      <c r="U18" s="5"/>
    </row>
    <row r="19" spans="1:21">
      <c r="A19" s="1"/>
      <c r="B19" s="3"/>
      <c r="C19" s="6"/>
      <c r="D19" s="5"/>
      <c r="E19" s="5"/>
      <c r="F19" s="1"/>
      <c r="G19" s="5"/>
      <c r="H19" s="68"/>
      <c r="I19" s="5"/>
      <c r="J19" s="5"/>
      <c r="K19" s="5"/>
      <c r="L19" s="5"/>
      <c r="M19" s="5"/>
      <c r="N19" s="5"/>
      <c r="O19" s="5"/>
      <c r="P19" s="5"/>
      <c r="Q19" s="5"/>
      <c r="R19" s="5"/>
      <c r="S19" s="5"/>
      <c r="T19" s="5"/>
      <c r="U19" s="5"/>
    </row>
    <row r="20" spans="1:21" ht="13">
      <c r="A20" s="1"/>
      <c r="B20" s="3"/>
      <c r="C20" s="32">
        <f>(PBW!$C$178)</f>
        <v>0</v>
      </c>
      <c r="D20" s="23" t="s">
        <v>54</v>
      </c>
      <c r="E20" s="5"/>
      <c r="F20" s="1"/>
      <c r="G20" s="5"/>
      <c r="H20" s="68"/>
      <c r="I20" s="565" t="s">
        <v>233</v>
      </c>
      <c r="J20" s="566"/>
      <c r="K20" s="566"/>
      <c r="L20" s="566"/>
      <c r="M20" s="566"/>
      <c r="N20" s="566"/>
      <c r="O20" s="566"/>
      <c r="P20" s="5"/>
      <c r="Q20" s="5"/>
      <c r="R20" s="5"/>
      <c r="S20" s="5"/>
      <c r="T20" s="5"/>
      <c r="U20" s="5"/>
    </row>
    <row r="21" spans="1:21">
      <c r="A21" s="5"/>
      <c r="B21" s="5"/>
      <c r="C21" s="32">
        <f>(PBW!$C$179)</f>
        <v>0</v>
      </c>
      <c r="D21" s="23" t="s">
        <v>53</v>
      </c>
      <c r="E21" s="5"/>
      <c r="F21" s="5"/>
      <c r="G21" s="5"/>
      <c r="H21" s="5"/>
      <c r="I21" s="295">
        <f>(PBW!$E$138)</f>
        <v>0</v>
      </c>
      <c r="J21" s="303">
        <f>(PBW!$C$138)</f>
        <v>0</v>
      </c>
      <c r="K21" s="300" t="s">
        <v>234</v>
      </c>
      <c r="L21" s="300"/>
      <c r="M21" s="300"/>
      <c r="N21" s="300"/>
      <c r="O21" s="300"/>
      <c r="P21" s="5"/>
      <c r="Q21" s="5"/>
      <c r="R21" s="5"/>
      <c r="S21" s="5"/>
      <c r="T21" s="5"/>
      <c r="U21" s="5"/>
    </row>
    <row r="22" spans="1:21" ht="13" thickBot="1">
      <c r="A22" s="10"/>
      <c r="B22" s="10"/>
      <c r="C22" s="10"/>
      <c r="D22" s="10"/>
      <c r="E22" s="10"/>
      <c r="F22" s="10"/>
      <c r="G22" s="10"/>
      <c r="H22" s="10"/>
      <c r="I22" s="299">
        <f>(PBW!$E$140)</f>
        <v>0</v>
      </c>
      <c r="J22" s="303">
        <f>(PBW!$C$140)</f>
        <v>0</v>
      </c>
      <c r="K22" s="300" t="s">
        <v>235</v>
      </c>
      <c r="L22" s="300"/>
      <c r="M22" s="300"/>
      <c r="N22" s="300"/>
      <c r="O22" s="300"/>
      <c r="P22" s="5"/>
      <c r="Q22" s="5"/>
      <c r="R22" s="5"/>
      <c r="S22" s="5"/>
      <c r="T22" s="5"/>
      <c r="U22" s="5"/>
    </row>
    <row r="23" spans="1:21" ht="13" thickBot="1">
      <c r="A23" s="5"/>
      <c r="B23" s="27"/>
      <c r="C23" s="27"/>
      <c r="D23" s="5"/>
      <c r="E23" s="5"/>
      <c r="F23" s="5"/>
      <c r="G23" s="5"/>
      <c r="H23" s="5"/>
      <c r="I23" s="297">
        <f>(PBW!$H$137)</f>
        <v>0</v>
      </c>
      <c r="J23" s="11"/>
      <c r="K23" s="302" t="s">
        <v>236</v>
      </c>
      <c r="L23" s="300"/>
      <c r="M23" s="300"/>
      <c r="N23" s="300"/>
      <c r="O23" s="300"/>
      <c r="P23" s="5"/>
      <c r="Q23" s="5"/>
      <c r="R23" s="5"/>
      <c r="S23" s="5"/>
      <c r="T23" s="5"/>
      <c r="U23" s="5"/>
    </row>
    <row r="24" spans="1:21" ht="13" thickBot="1">
      <c r="A24" s="503" t="s">
        <v>93</v>
      </c>
      <c r="B24" s="504"/>
      <c r="C24" s="504"/>
      <c r="D24" s="505"/>
      <c r="E24" s="505"/>
      <c r="F24" s="505"/>
      <c r="G24" s="505"/>
      <c r="H24" s="277">
        <f>(TOTCONST)</f>
        <v>0</v>
      </c>
      <c r="I24" s="300"/>
      <c r="J24" s="5"/>
      <c r="K24" s="300"/>
      <c r="L24" s="300"/>
      <c r="M24" s="300"/>
      <c r="N24" s="300"/>
      <c r="O24" s="300"/>
      <c r="P24" s="5"/>
      <c r="Q24" s="5"/>
      <c r="R24" s="5"/>
      <c r="S24" s="5"/>
      <c r="T24" s="5"/>
      <c r="U24" s="5"/>
    </row>
    <row r="25" spans="1:21">
      <c r="A25" s="424" t="s">
        <v>92</v>
      </c>
      <c r="B25" s="27"/>
      <c r="C25" s="27"/>
      <c r="D25" s="5"/>
      <c r="E25" s="5"/>
      <c r="F25" s="5"/>
      <c r="G25" s="5"/>
      <c r="H25" s="28">
        <f>(TOTCONST-PBW!$H$119)</f>
        <v>0</v>
      </c>
      <c r="I25" s="295">
        <f>(PBW!$E$143)</f>
        <v>0</v>
      </c>
      <c r="J25" s="303">
        <f>(PBW!$C$143)</f>
        <v>0</v>
      </c>
      <c r="K25" s="300" t="s">
        <v>237</v>
      </c>
      <c r="L25" s="300"/>
      <c r="M25" s="300"/>
      <c r="N25" s="300"/>
      <c r="O25" s="300"/>
      <c r="P25" s="5"/>
      <c r="Q25" s="5"/>
      <c r="R25" s="5"/>
      <c r="S25" s="5"/>
      <c r="T25" s="5"/>
      <c r="U25" s="5"/>
    </row>
    <row r="26" spans="1:21">
      <c r="A26" s="424" t="s">
        <v>83</v>
      </c>
      <c r="B26" s="27"/>
      <c r="C26" s="27"/>
      <c r="D26" s="5"/>
      <c r="E26" s="5"/>
      <c r="F26" s="5"/>
      <c r="G26" s="5"/>
      <c r="H26" s="28">
        <f>(PBW!$H$119)</f>
        <v>0</v>
      </c>
      <c r="I26" s="295">
        <f>(PBW!$E$144)</f>
        <v>0</v>
      </c>
      <c r="J26" s="5"/>
      <c r="K26" s="300" t="s">
        <v>238</v>
      </c>
      <c r="L26" s="300"/>
      <c r="M26" s="300"/>
      <c r="N26" s="300"/>
      <c r="O26" s="300"/>
      <c r="P26" s="5"/>
      <c r="Q26" s="5"/>
      <c r="R26" s="5"/>
      <c r="S26" s="5"/>
      <c r="T26" s="5"/>
      <c r="U26" s="5"/>
    </row>
    <row r="27" spans="1:21" ht="13" thickBot="1">
      <c r="A27" s="1"/>
      <c r="B27" s="29"/>
      <c r="C27" s="29"/>
      <c r="D27" s="5"/>
      <c r="E27" s="5"/>
      <c r="F27" s="5"/>
      <c r="G27" s="5"/>
      <c r="H27" s="28"/>
      <c r="I27" s="295">
        <f>(PBW!$E$145)</f>
        <v>0</v>
      </c>
      <c r="J27" s="303">
        <f>(PBW!$C$145)</f>
        <v>0</v>
      </c>
      <c r="K27" s="300" t="s">
        <v>239</v>
      </c>
      <c r="L27" s="300"/>
      <c r="M27" s="300"/>
      <c r="N27" s="300"/>
      <c r="O27" s="300"/>
      <c r="P27" s="5"/>
      <c r="Q27" s="5"/>
      <c r="R27" s="5"/>
      <c r="S27" s="5"/>
      <c r="T27" s="5"/>
      <c r="U27" s="5"/>
    </row>
    <row r="28" spans="1:21" ht="13" thickBot="1">
      <c r="A28" s="503" t="s">
        <v>96</v>
      </c>
      <c r="B28" s="505"/>
      <c r="C28" s="505"/>
      <c r="D28" s="505"/>
      <c r="E28" s="505"/>
      <c r="F28" s="505"/>
      <c r="G28" s="506" t="str">
        <f>IF($H$24=0,"",($H$28/$H$24))</f>
        <v/>
      </c>
      <c r="H28" s="277">
        <f>SUM(PBW!$H$137,PBW!$H$142)</f>
        <v>0</v>
      </c>
      <c r="I28" s="295">
        <f>(PBW!$E$146)</f>
        <v>0</v>
      </c>
      <c r="J28" s="5"/>
      <c r="K28" s="300" t="s">
        <v>240</v>
      </c>
      <c r="L28" s="300"/>
      <c r="M28" s="300"/>
      <c r="N28" s="300"/>
      <c r="O28" s="300"/>
      <c r="P28" s="5"/>
      <c r="Q28" s="5"/>
      <c r="R28" s="5"/>
      <c r="S28" s="5"/>
      <c r="T28" s="5"/>
      <c r="U28" s="5"/>
    </row>
    <row r="29" spans="1:21">
      <c r="A29" s="424" t="s">
        <v>94</v>
      </c>
      <c r="B29" s="57"/>
      <c r="C29" s="29"/>
      <c r="D29" s="78"/>
      <c r="E29" s="5"/>
      <c r="F29" s="5"/>
      <c r="G29" s="86" t="str">
        <f>IF($H$24=0,"",($H$29/$H$24))</f>
        <v/>
      </c>
      <c r="H29" s="28">
        <f>(PBW!$H$137)</f>
        <v>0</v>
      </c>
      <c r="I29" s="295">
        <f>(PBW!$E$147)</f>
        <v>0</v>
      </c>
      <c r="J29" s="5"/>
      <c r="K29" s="300" t="s">
        <v>241</v>
      </c>
      <c r="L29" s="300"/>
      <c r="M29" s="300"/>
      <c r="N29" s="300"/>
      <c r="O29" s="300"/>
      <c r="P29" s="5"/>
      <c r="Q29" s="5"/>
      <c r="R29" s="5"/>
      <c r="S29" s="5"/>
      <c r="T29" s="5"/>
      <c r="U29" s="5"/>
    </row>
    <row r="30" spans="1:21">
      <c r="A30" s="424" t="s">
        <v>95</v>
      </c>
      <c r="B30" s="57"/>
      <c r="C30" s="27"/>
      <c r="D30" s="78"/>
      <c r="E30" s="30"/>
      <c r="F30" s="5"/>
      <c r="G30" s="87" t="str">
        <f>IF($H$24=0,"",($H$30/$H$24))</f>
        <v/>
      </c>
      <c r="H30" s="28">
        <f>(PBW!$H$142)</f>
        <v>0</v>
      </c>
      <c r="I30" s="295">
        <f>(PBW!$E$148)</f>
        <v>0</v>
      </c>
      <c r="J30" s="5"/>
      <c r="K30" s="300" t="s">
        <v>242</v>
      </c>
      <c r="L30" s="300"/>
      <c r="M30" s="300"/>
      <c r="N30" s="300"/>
      <c r="O30" s="300"/>
      <c r="P30" s="5"/>
      <c r="Q30" s="5"/>
      <c r="R30" s="5"/>
      <c r="S30" s="5"/>
      <c r="T30" s="5"/>
      <c r="U30" s="5"/>
    </row>
    <row r="31" spans="1:21" ht="13" thickBot="1">
      <c r="A31" s="2"/>
      <c r="B31" s="5"/>
      <c r="C31" s="5"/>
      <c r="D31" s="5"/>
      <c r="E31" s="5"/>
      <c r="F31" s="5"/>
      <c r="G31" s="5"/>
      <c r="H31" s="31"/>
      <c r="I31" s="299">
        <f>SUM(PBW!$E$149:$E$151)</f>
        <v>0</v>
      </c>
      <c r="J31" s="5"/>
      <c r="K31" s="300" t="s">
        <v>243</v>
      </c>
      <c r="L31" s="300"/>
      <c r="M31" s="300"/>
      <c r="N31" s="300"/>
      <c r="O31" s="300"/>
      <c r="P31" s="5"/>
      <c r="Q31" s="5"/>
      <c r="R31" s="5"/>
      <c r="S31" s="5"/>
      <c r="T31" s="5"/>
      <c r="U31" s="5"/>
    </row>
    <row r="32" spans="1:21" ht="13" thickBot="1">
      <c r="A32" s="503" t="s">
        <v>97</v>
      </c>
      <c r="B32" s="507"/>
      <c r="C32" s="505"/>
      <c r="D32" s="505"/>
      <c r="E32" s="505"/>
      <c r="F32" s="505"/>
      <c r="G32" s="506" t="str">
        <f>IF($H$24=0,"",($H$32/$H$24))</f>
        <v/>
      </c>
      <c r="H32" s="277">
        <f>(PBW!$H$160)</f>
        <v>0</v>
      </c>
      <c r="I32" s="297">
        <f>(PBW!$H$142)</f>
        <v>0</v>
      </c>
      <c r="J32" s="11"/>
      <c r="K32" s="302" t="s">
        <v>244</v>
      </c>
      <c r="L32" s="302"/>
      <c r="M32" s="302"/>
      <c r="N32" s="302"/>
      <c r="O32" s="302"/>
      <c r="P32" s="5"/>
      <c r="Q32" s="5"/>
      <c r="R32" s="5"/>
      <c r="S32" s="5"/>
      <c r="T32" s="5"/>
      <c r="U32" s="5"/>
    </row>
    <row r="33" spans="1:21" ht="13" thickBot="1">
      <c r="A33" s="79"/>
      <c r="B33" s="80"/>
      <c r="C33" s="5"/>
      <c r="D33" s="5"/>
      <c r="E33" s="5"/>
      <c r="F33" s="5"/>
      <c r="G33" s="5"/>
      <c r="H33" s="31"/>
      <c r="I33" s="5"/>
      <c r="J33" s="5"/>
      <c r="K33" s="5"/>
      <c r="L33" s="5"/>
      <c r="M33" s="5"/>
      <c r="N33" s="5"/>
      <c r="O33" s="5"/>
      <c r="P33" s="5"/>
      <c r="Q33" s="5"/>
      <c r="R33" s="5"/>
      <c r="S33" s="5"/>
      <c r="T33" s="5"/>
      <c r="U33" s="5"/>
    </row>
    <row r="34" spans="1:21" ht="13" thickBot="1">
      <c r="A34" s="503" t="s">
        <v>98</v>
      </c>
      <c r="B34" s="507"/>
      <c r="C34" s="505"/>
      <c r="D34" s="505"/>
      <c r="E34" s="505"/>
      <c r="F34" s="505"/>
      <c r="G34" s="506" t="str">
        <f>IF(SUM($H$24,$H$32)=0,"",($H$34/SUM($H$24+$H$32)))</f>
        <v/>
      </c>
      <c r="H34" s="277">
        <f>(PBW!$H$162)</f>
        <v>0</v>
      </c>
      <c r="I34" s="5"/>
      <c r="J34" s="5"/>
      <c r="K34" s="5"/>
      <c r="L34" s="5"/>
      <c r="M34" s="5"/>
      <c r="N34" s="5"/>
      <c r="O34" s="5"/>
      <c r="P34" s="5"/>
      <c r="Q34" s="5"/>
      <c r="R34" s="5"/>
      <c r="S34" s="5"/>
      <c r="T34" s="5"/>
      <c r="U34" s="5"/>
    </row>
    <row r="35" spans="1:21" ht="13" thickBot="1">
      <c r="A35" s="2"/>
      <c r="B35" s="5"/>
      <c r="C35" s="5"/>
      <c r="D35" s="5"/>
      <c r="E35" s="5"/>
      <c r="F35" s="5"/>
      <c r="G35" s="5"/>
      <c r="H35" s="28"/>
      <c r="I35" s="5"/>
      <c r="J35" s="5"/>
      <c r="K35" s="5"/>
      <c r="L35" s="5"/>
      <c r="M35" s="5"/>
      <c r="N35" s="5"/>
      <c r="O35" s="5"/>
      <c r="P35" s="5"/>
      <c r="Q35" s="5"/>
      <c r="R35" s="5"/>
      <c r="S35" s="5"/>
      <c r="T35" s="5"/>
      <c r="U35" s="5"/>
    </row>
    <row r="36" spans="1:21" ht="13" thickBot="1">
      <c r="A36" s="503" t="s">
        <v>141</v>
      </c>
      <c r="B36" s="505"/>
      <c r="C36" s="505"/>
      <c r="D36" s="505"/>
      <c r="E36" s="505"/>
      <c r="F36" s="505"/>
      <c r="G36" s="506" t="str">
        <f>IF($H$24=0,"",($H$36/$H$24))</f>
        <v/>
      </c>
      <c r="H36" s="277">
        <f>(PBW!$H$164)</f>
        <v>0</v>
      </c>
      <c r="I36" s="5"/>
      <c r="J36" s="5"/>
      <c r="K36" s="5"/>
      <c r="L36" s="5"/>
      <c r="M36" s="5"/>
      <c r="N36" s="5"/>
      <c r="O36" s="5"/>
      <c r="P36" s="5"/>
      <c r="Q36" s="5"/>
      <c r="R36" s="5"/>
      <c r="S36" s="5"/>
      <c r="T36" s="5"/>
      <c r="U36" s="5"/>
    </row>
    <row r="37" spans="1:21">
      <c r="A37" s="424" t="s">
        <v>142</v>
      </c>
      <c r="B37" s="57"/>
      <c r="C37" s="5"/>
      <c r="D37" s="78"/>
      <c r="E37" s="5"/>
      <c r="F37" s="5"/>
      <c r="G37" s="58" t="str">
        <f>IF($H$24=0,"",($H$37/$H$24))</f>
        <v/>
      </c>
      <c r="H37" s="28">
        <f>(PBW!$G$153)</f>
        <v>0</v>
      </c>
      <c r="I37" s="5"/>
      <c r="J37" s="5"/>
      <c r="K37" s="5"/>
      <c r="L37" s="5"/>
      <c r="M37" s="5"/>
      <c r="N37" s="5"/>
      <c r="O37" s="5"/>
      <c r="P37" s="5"/>
      <c r="Q37" s="5"/>
      <c r="R37" s="5"/>
      <c r="S37" s="5"/>
      <c r="T37" s="5"/>
      <c r="U37" s="5"/>
    </row>
    <row r="38" spans="1:21">
      <c r="A38" s="424" t="s">
        <v>143</v>
      </c>
      <c r="B38" s="58"/>
      <c r="C38" s="5"/>
      <c r="D38" s="78"/>
      <c r="E38" s="5"/>
      <c r="F38" s="5"/>
      <c r="G38" s="58" t="str">
        <f>IF($H$24=0,"",($H$38/$H$24))</f>
        <v/>
      </c>
      <c r="H38" s="28">
        <f>(PBW!$G$166)</f>
        <v>0</v>
      </c>
      <c r="I38" s="5"/>
      <c r="J38" s="5"/>
      <c r="K38" s="5"/>
      <c r="L38" s="5"/>
      <c r="M38" s="5"/>
      <c r="N38" s="5"/>
      <c r="O38" s="5"/>
      <c r="P38" s="5"/>
      <c r="Q38" s="5"/>
      <c r="R38" s="5"/>
      <c r="S38" s="5"/>
      <c r="T38" s="5"/>
      <c r="U38" s="5"/>
    </row>
    <row r="39" spans="1:21" ht="13" thickBot="1">
      <c r="A39" s="2"/>
      <c r="B39" s="5"/>
      <c r="C39" s="5"/>
      <c r="D39" s="5"/>
      <c r="E39" s="5"/>
      <c r="F39" s="5"/>
      <c r="G39" s="5"/>
      <c r="H39" s="31"/>
      <c r="I39" s="5"/>
      <c r="J39" s="5"/>
      <c r="K39" s="5"/>
      <c r="L39" s="5"/>
      <c r="M39" s="5"/>
      <c r="N39" s="5"/>
      <c r="O39" s="5"/>
      <c r="P39" s="5"/>
      <c r="Q39" s="5"/>
      <c r="R39" s="5"/>
      <c r="S39" s="5"/>
      <c r="T39" s="5"/>
      <c r="U39" s="5"/>
    </row>
    <row r="40" spans="1:21" ht="13" thickBot="1">
      <c r="A40" s="503" t="s">
        <v>99</v>
      </c>
      <c r="B40" s="505"/>
      <c r="C40" s="505"/>
      <c r="D40" s="505"/>
      <c r="E40" s="505"/>
      <c r="F40" s="503"/>
      <c r="G40" s="508"/>
      <c r="H40" s="277">
        <f>SUM(H$24,H$28,H$32,H$34,$H$36)</f>
        <v>0</v>
      </c>
      <c r="I40" s="5"/>
      <c r="J40" s="5"/>
      <c r="K40" s="5"/>
      <c r="L40" s="5"/>
      <c r="M40" s="5"/>
      <c r="N40" s="5"/>
      <c r="O40" s="5"/>
      <c r="P40" s="5"/>
      <c r="Q40" s="5"/>
      <c r="R40" s="5"/>
      <c r="S40" s="5"/>
      <c r="T40" s="5"/>
      <c r="U40" s="5"/>
    </row>
    <row r="41" spans="1:21">
      <c r="A41" s="5"/>
      <c r="B41" s="5"/>
      <c r="C41" s="5"/>
      <c r="D41" s="5"/>
      <c r="E41" s="5"/>
      <c r="F41" s="5"/>
      <c r="G41" s="5"/>
      <c r="H41" s="5"/>
      <c r="I41" s="5"/>
      <c r="J41" s="5"/>
      <c r="K41" s="5"/>
      <c r="L41" s="5"/>
      <c r="M41" s="5"/>
      <c r="N41" s="5"/>
      <c r="O41" s="5"/>
      <c r="P41" s="5"/>
      <c r="Q41" s="5"/>
      <c r="R41" s="5"/>
      <c r="S41" s="5"/>
      <c r="T41" s="5"/>
      <c r="U41" s="5"/>
    </row>
    <row r="42" spans="1:21" ht="13" thickBot="1">
      <c r="A42" s="10"/>
      <c r="B42" s="10"/>
      <c r="C42" s="10"/>
      <c r="D42" s="10"/>
      <c r="E42" s="10"/>
      <c r="F42" s="10"/>
      <c r="G42" s="10"/>
      <c r="H42" s="10"/>
      <c r="I42" s="5"/>
      <c r="J42" s="5"/>
      <c r="K42" s="5"/>
      <c r="L42" s="5"/>
      <c r="M42" s="5"/>
      <c r="N42" s="5"/>
      <c r="O42" s="5"/>
      <c r="P42" s="5"/>
      <c r="Q42" s="5"/>
      <c r="R42" s="5"/>
      <c r="S42" s="5"/>
      <c r="T42" s="5"/>
      <c r="U42" s="5"/>
    </row>
    <row r="43" spans="1:21">
      <c r="A43" s="5"/>
      <c r="B43" s="5"/>
      <c r="C43" s="5"/>
      <c r="D43" s="5"/>
      <c r="E43" s="5"/>
      <c r="F43" s="5"/>
      <c r="G43" s="5"/>
      <c r="H43" s="5"/>
      <c r="I43" s="5"/>
      <c r="J43" s="5"/>
      <c r="K43" s="5"/>
      <c r="L43" s="5"/>
      <c r="M43" s="5"/>
      <c r="N43" s="5"/>
      <c r="O43" s="5"/>
      <c r="P43" s="5"/>
      <c r="Q43" s="5"/>
      <c r="R43" s="5"/>
      <c r="S43" s="5"/>
      <c r="T43" s="5"/>
      <c r="U43" s="5"/>
    </row>
    <row r="44" spans="1:21">
      <c r="A44" s="5"/>
      <c r="B44" s="5"/>
      <c r="C44" s="5"/>
      <c r="D44" s="5"/>
      <c r="E44" s="5"/>
      <c r="F44" s="5"/>
      <c r="G44" s="5"/>
      <c r="H44" s="5"/>
      <c r="I44" s="5"/>
      <c r="J44" s="5"/>
      <c r="K44" s="5"/>
      <c r="L44" s="5"/>
      <c r="M44" s="5"/>
      <c r="N44" s="5"/>
      <c r="O44" s="5"/>
      <c r="P44" s="5"/>
      <c r="Q44" s="5"/>
      <c r="R44" s="5"/>
      <c r="S44" s="5"/>
      <c r="T44" s="5"/>
      <c r="U44" s="5"/>
    </row>
    <row r="45" spans="1:21">
      <c r="A45" s="5"/>
      <c r="B45" s="5"/>
      <c r="C45" s="5"/>
      <c r="D45" s="5"/>
      <c r="E45" s="5"/>
      <c r="F45" s="5"/>
      <c r="G45" s="5"/>
      <c r="H45" s="5"/>
      <c r="I45" s="5"/>
      <c r="J45" s="5"/>
      <c r="K45" s="5"/>
      <c r="L45" s="5"/>
      <c r="M45" s="5"/>
      <c r="N45" s="5"/>
      <c r="O45" s="5"/>
      <c r="P45" s="5"/>
      <c r="Q45" s="5"/>
      <c r="R45" s="5"/>
      <c r="S45" s="5"/>
      <c r="T45" s="5"/>
      <c r="U45" s="5"/>
    </row>
    <row r="46" spans="1:21">
      <c r="A46" s="563" t="s">
        <v>195</v>
      </c>
      <c r="B46" s="563"/>
      <c r="C46" s="563"/>
      <c r="D46" s="563"/>
      <c r="E46" s="5"/>
      <c r="F46" s="564" t="s">
        <v>202</v>
      </c>
      <c r="G46" s="564"/>
      <c r="H46" s="564"/>
      <c r="I46" s="568" t="s">
        <v>212</v>
      </c>
      <c r="J46" s="568"/>
      <c r="K46" s="5"/>
      <c r="L46" s="5"/>
      <c r="M46" s="5"/>
      <c r="N46" s="5"/>
      <c r="O46" s="5"/>
      <c r="P46" s="5"/>
      <c r="Q46" s="5"/>
      <c r="R46" s="5"/>
      <c r="S46" s="5"/>
      <c r="T46" s="5"/>
      <c r="U46" s="5"/>
    </row>
    <row r="47" spans="1:21">
      <c r="A47" s="88"/>
      <c r="B47" s="88"/>
      <c r="C47" s="88"/>
      <c r="D47" s="88"/>
      <c r="E47" s="5"/>
      <c r="F47" s="5"/>
      <c r="G47" s="5"/>
      <c r="H47" s="227" t="s">
        <v>211</v>
      </c>
      <c r="I47" s="227" t="s">
        <v>210</v>
      </c>
      <c r="J47" s="227"/>
      <c r="K47" s="5"/>
      <c r="L47" s="5"/>
      <c r="M47" s="5"/>
      <c r="N47" s="5"/>
      <c r="O47" s="5"/>
      <c r="P47" s="5"/>
      <c r="Q47" s="5"/>
      <c r="R47" s="5"/>
      <c r="S47" s="5"/>
      <c r="T47" s="5"/>
      <c r="U47" s="5"/>
    </row>
    <row r="48" spans="1:21" ht="12.75" customHeight="1">
      <c r="A48" s="127" t="s">
        <v>185</v>
      </c>
      <c r="B48" s="407"/>
      <c r="C48" s="33" t="s">
        <v>194</v>
      </c>
      <c r="D48" s="502">
        <f>($H$25)</f>
        <v>0</v>
      </c>
      <c r="E48" s="75" t="s">
        <v>206</v>
      </c>
      <c r="F48" s="1" t="s">
        <v>199</v>
      </c>
      <c r="G48" s="38" t="s">
        <v>194</v>
      </c>
      <c r="H48" s="502">
        <f>($H$34)</f>
        <v>0</v>
      </c>
      <c r="I48" s="301">
        <f>(PBW_NoInflation!$H$162)</f>
        <v>0</v>
      </c>
      <c r="J48" s="239"/>
      <c r="K48" s="5"/>
      <c r="L48" s="5"/>
      <c r="M48" s="5"/>
      <c r="N48" s="5"/>
      <c r="O48" s="5"/>
      <c r="P48" s="5"/>
      <c r="Q48" s="5"/>
      <c r="R48" s="5"/>
      <c r="S48" s="5"/>
      <c r="T48" s="5"/>
      <c r="U48" s="5"/>
    </row>
    <row r="49" spans="1:21" ht="12.75" customHeight="1">
      <c r="A49" s="127" t="s">
        <v>184</v>
      </c>
      <c r="B49" s="407"/>
      <c r="C49" s="33" t="s">
        <v>194</v>
      </c>
      <c r="D49" s="502">
        <f>($H$26)</f>
        <v>0</v>
      </c>
      <c r="E49" s="75" t="s">
        <v>205</v>
      </c>
      <c r="F49" s="1" t="s">
        <v>198</v>
      </c>
      <c r="G49" s="38" t="s">
        <v>194</v>
      </c>
      <c r="H49" s="502">
        <f>ROUND(SUM(PBW!$H$137,PBW!$E$143,PBW!$E$145,PBW!$E$152),-3)</f>
        <v>0</v>
      </c>
      <c r="I49" s="301">
        <f>ROUND(SUM(PBW_NoInflation!$H$137,PBW_NoInflation!$E$143,PBW_NoInflation!$E$145,PBW_NoInflation!$E$152),-3)</f>
        <v>0</v>
      </c>
      <c r="J49" s="239"/>
      <c r="K49" s="5"/>
      <c r="L49" s="5"/>
      <c r="M49" s="5"/>
      <c r="N49" s="5"/>
      <c r="O49" s="5"/>
      <c r="P49" s="5"/>
      <c r="Q49" s="5"/>
      <c r="R49" s="5"/>
      <c r="S49" s="5"/>
      <c r="T49" s="5"/>
      <c r="U49" s="5"/>
    </row>
    <row r="50" spans="1:21" ht="12.75" customHeight="1">
      <c r="A50" s="63" t="s">
        <v>186</v>
      </c>
      <c r="B50" s="408"/>
      <c r="C50" s="52" t="s">
        <v>194</v>
      </c>
      <c r="D50" s="278">
        <f>($H$24)</f>
        <v>0</v>
      </c>
      <c r="E50" s="75" t="s">
        <v>207</v>
      </c>
      <c r="F50" s="1" t="s">
        <v>185</v>
      </c>
      <c r="G50" s="38" t="s">
        <v>194</v>
      </c>
      <c r="H50" s="502">
        <f>($H$24)</f>
        <v>0</v>
      </c>
      <c r="I50" s="301">
        <f>(PBW_NoInflation!$H$124)</f>
        <v>0</v>
      </c>
      <c r="J50" s="239"/>
      <c r="K50" s="5"/>
      <c r="L50" s="5"/>
      <c r="M50" s="5"/>
      <c r="N50" s="5"/>
      <c r="O50" s="5"/>
      <c r="P50" s="5"/>
      <c r="Q50" s="5"/>
      <c r="R50" s="5"/>
      <c r="S50" s="5"/>
      <c r="T50" s="5"/>
      <c r="U50" s="5"/>
    </row>
    <row r="51" spans="1:21" ht="12.75" customHeight="1">
      <c r="A51" s="127" t="s">
        <v>187</v>
      </c>
      <c r="B51" s="407" t="str">
        <f>($G$29)</f>
        <v/>
      </c>
      <c r="C51" s="33" t="s">
        <v>194</v>
      </c>
      <c r="D51" s="502">
        <f>($H$29)</f>
        <v>0</v>
      </c>
      <c r="E51" s="75" t="s">
        <v>204</v>
      </c>
      <c r="F51" s="1" t="s">
        <v>190</v>
      </c>
      <c r="G51" s="38" t="s">
        <v>194</v>
      </c>
      <c r="H51" s="502">
        <f>($H$32)</f>
        <v>0</v>
      </c>
      <c r="I51" s="301">
        <f>(PBW_NoInflation!$H$160)</f>
        <v>0</v>
      </c>
      <c r="J51" s="239"/>
      <c r="K51" s="5"/>
      <c r="L51" s="5"/>
      <c r="M51" s="5"/>
      <c r="N51" s="5"/>
      <c r="O51" s="5"/>
      <c r="P51" s="5"/>
      <c r="Q51" s="5"/>
      <c r="R51" s="5"/>
      <c r="S51" s="5"/>
      <c r="T51" s="5"/>
      <c r="U51" s="5"/>
    </row>
    <row r="52" spans="1:21" ht="12.75" customHeight="1">
      <c r="A52" s="127" t="s">
        <v>188</v>
      </c>
      <c r="B52" s="407" t="str">
        <f>($G$30)</f>
        <v/>
      </c>
      <c r="C52" s="33" t="s">
        <v>194</v>
      </c>
      <c r="D52" s="502">
        <f>($H$30)</f>
        <v>0</v>
      </c>
      <c r="E52" s="75" t="s">
        <v>208</v>
      </c>
      <c r="F52" s="1" t="s">
        <v>200</v>
      </c>
      <c r="G52" s="38" t="s">
        <v>194</v>
      </c>
      <c r="H52" s="502">
        <f>ROUND(SUM(PBW!$H$164,PBW!$E$146:$E$151),-3)</f>
        <v>0</v>
      </c>
      <c r="I52" s="301">
        <f>ROUND(SUM(PBW_NoInflation!$H$164,PBW_NoInflation!$E$146:$E$151),-3)</f>
        <v>0</v>
      </c>
      <c r="J52" s="239"/>
      <c r="K52" s="5"/>
      <c r="L52" s="5"/>
      <c r="M52" s="5"/>
      <c r="N52" s="5"/>
      <c r="O52" s="5"/>
      <c r="P52" s="5"/>
      <c r="Q52" s="5"/>
      <c r="R52" s="5"/>
      <c r="S52" s="5"/>
      <c r="T52" s="5"/>
      <c r="U52" s="5"/>
    </row>
    <row r="53" spans="1:21" ht="12.75" customHeight="1">
      <c r="A53" s="63" t="s">
        <v>189</v>
      </c>
      <c r="B53" s="408"/>
      <c r="C53" s="52" t="s">
        <v>194</v>
      </c>
      <c r="D53" s="278">
        <f>($H$28)</f>
        <v>0</v>
      </c>
      <c r="E53" s="75"/>
      <c r="F53" s="1" t="s">
        <v>209</v>
      </c>
      <c r="G53" s="38" t="s">
        <v>194</v>
      </c>
      <c r="H53" s="502">
        <f>($I$53)</f>
        <v>0</v>
      </c>
      <c r="I53" s="301">
        <f>($H$54-$I$54)</f>
        <v>0</v>
      </c>
      <c r="J53" s="239"/>
      <c r="K53" s="5"/>
      <c r="L53" s="5"/>
      <c r="M53" s="5"/>
      <c r="N53" s="5"/>
      <c r="O53" s="5"/>
      <c r="P53" s="5"/>
      <c r="Q53" s="5"/>
      <c r="R53" s="5"/>
      <c r="S53" s="5"/>
      <c r="T53" s="5"/>
      <c r="U53" s="5"/>
    </row>
    <row r="54" spans="1:21" ht="12.75" customHeight="1">
      <c r="A54" s="127" t="s">
        <v>190</v>
      </c>
      <c r="B54" s="407" t="str">
        <f>($G$32)</f>
        <v/>
      </c>
      <c r="C54" s="33" t="s">
        <v>194</v>
      </c>
      <c r="D54" s="502">
        <f>($H$32)</f>
        <v>0</v>
      </c>
      <c r="E54" s="75"/>
      <c r="F54" s="2" t="s">
        <v>201</v>
      </c>
      <c r="G54" s="34" t="s">
        <v>194</v>
      </c>
      <c r="H54" s="278">
        <f>($H$40)</f>
        <v>0</v>
      </c>
      <c r="I54" s="294">
        <f>(PBW_NoInflation!$H$174)</f>
        <v>0</v>
      </c>
      <c r="J54" s="240"/>
      <c r="K54" s="5"/>
      <c r="L54" s="5"/>
      <c r="M54" s="5"/>
      <c r="N54" s="5"/>
      <c r="O54" s="5"/>
      <c r="P54" s="5"/>
      <c r="Q54" s="5"/>
      <c r="R54" s="5"/>
      <c r="S54" s="5"/>
      <c r="T54" s="5"/>
      <c r="U54" s="5"/>
    </row>
    <row r="55" spans="1:21" ht="13">
      <c r="A55" s="127" t="s">
        <v>191</v>
      </c>
      <c r="B55" s="407" t="str">
        <f>($G$34)</f>
        <v/>
      </c>
      <c r="C55" s="33" t="s">
        <v>194</v>
      </c>
      <c r="D55" s="502">
        <f>($H$34)</f>
        <v>0</v>
      </c>
      <c r="E55" s="5"/>
      <c r="F55" s="12"/>
      <c r="G55" s="5"/>
      <c r="H55" s="5"/>
      <c r="I55" s="5"/>
      <c r="J55" s="5"/>
      <c r="K55" s="5"/>
      <c r="L55" s="5"/>
      <c r="M55" s="5"/>
      <c r="N55" s="5"/>
      <c r="O55" s="5"/>
      <c r="P55" s="5"/>
      <c r="Q55" s="5"/>
      <c r="R55" s="5"/>
      <c r="S55" s="5"/>
      <c r="T55" s="5"/>
      <c r="U55" s="5"/>
    </row>
    <row r="56" spans="1:21" ht="13">
      <c r="A56" s="127" t="s">
        <v>192</v>
      </c>
      <c r="B56" s="407" t="str">
        <f>($G$36)</f>
        <v/>
      </c>
      <c r="C56" s="33" t="s">
        <v>194</v>
      </c>
      <c r="D56" s="502">
        <f>($H$36)</f>
        <v>0</v>
      </c>
      <c r="E56" s="5"/>
      <c r="F56" s="12"/>
      <c r="G56" s="5"/>
      <c r="H56" s="5"/>
      <c r="I56" s="5"/>
      <c r="J56" s="5"/>
      <c r="K56" s="5"/>
      <c r="L56" s="5"/>
      <c r="M56" s="5"/>
      <c r="N56" s="5"/>
      <c r="O56" s="5"/>
      <c r="P56" s="5"/>
      <c r="Q56" s="5"/>
      <c r="R56" s="5"/>
      <c r="S56" s="5"/>
      <c r="T56" s="5"/>
      <c r="U56" s="5"/>
    </row>
    <row r="57" spans="1:21" ht="13">
      <c r="A57" s="63" t="s">
        <v>193</v>
      </c>
      <c r="B57" s="408"/>
      <c r="C57" s="52" t="s">
        <v>194</v>
      </c>
      <c r="D57" s="278">
        <f>($H$40)</f>
        <v>0</v>
      </c>
      <c r="E57" s="5"/>
      <c r="F57" s="12"/>
      <c r="G57" s="5"/>
      <c r="H57" s="5"/>
      <c r="I57" s="5"/>
      <c r="J57" s="5"/>
      <c r="K57" s="5"/>
      <c r="L57" s="5"/>
      <c r="M57" s="5"/>
      <c r="N57" s="5"/>
      <c r="O57" s="5"/>
      <c r="P57" s="5"/>
      <c r="Q57" s="5"/>
      <c r="R57" s="5"/>
      <c r="S57" s="5"/>
      <c r="T57" s="5"/>
      <c r="U57" s="5"/>
    </row>
    <row r="58" spans="1:21">
      <c r="I58" s="5"/>
      <c r="J58" s="5"/>
      <c r="K58" s="5"/>
      <c r="L58" s="5"/>
      <c r="M58" s="5"/>
      <c r="N58" s="5"/>
      <c r="O58" s="5"/>
      <c r="P58" s="5"/>
      <c r="Q58" s="5"/>
      <c r="R58" s="5"/>
      <c r="S58" s="5"/>
      <c r="T58" s="5"/>
      <c r="U58" s="5"/>
    </row>
    <row r="59" spans="1:21">
      <c r="I59" s="5"/>
      <c r="J59" s="5"/>
      <c r="K59" s="5"/>
      <c r="L59" s="5"/>
      <c r="M59" s="5"/>
      <c r="N59" s="5"/>
      <c r="O59" s="5"/>
      <c r="P59" s="5"/>
      <c r="Q59" s="5"/>
      <c r="R59" s="5"/>
      <c r="S59" s="5"/>
      <c r="T59" s="5"/>
      <c r="U59" s="5"/>
    </row>
  </sheetData>
  <sheetProtection algorithmName="SHA-512" hashValue="73J0vrJ2yUe+DLk1uYbj+gWIk+8X9o0jYQnqxq1S5Oz+4OT9W0PDK860wSm5HVuSlFrFuH3qorcEuQOwrpdCtw==" saltValue="SbF3sZEoMjIWJZjwH1gtzA==" spinCount="100000" sheet="1" objects="1" scenarios="1"/>
  <sortState xmlns:xlrd2="http://schemas.microsoft.com/office/spreadsheetml/2017/richdata2" ref="E48:H52">
    <sortCondition ref="E48:E52"/>
  </sortState>
  <mergeCells count="8">
    <mergeCell ref="A46:D46"/>
    <mergeCell ref="F46:H46"/>
    <mergeCell ref="I1:O1"/>
    <mergeCell ref="I14:O14"/>
    <mergeCell ref="I20:O20"/>
    <mergeCell ref="B3:E3"/>
    <mergeCell ref="I46:J46"/>
    <mergeCell ref="C4:E8"/>
  </mergeCells>
  <phoneticPr fontId="5" type="noConversion"/>
  <printOptions horizontalCentered="1"/>
  <pageMargins left="0.25" right="0.25" top="0.5" bottom="0.5" header="0.25" footer="0.25"/>
  <pageSetup orientation="portrait" horizontalDpi="4294967292" verticalDpi="4294967292" r:id="rId1"/>
  <headerFooter>
    <oddFooter>&amp;L&amp;"Arial Narrow,Regular"&amp;8&amp;K000000&amp;D&amp;C&amp;"Arial Narrow,Regular"&amp;8&amp;K000000PBW Summary&amp;R&amp;"Arial Narrow,Regular"&amp;8&amp;K000000page &amp;P of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3" id="{214BE280-FF3D-1340-987F-312E7D6E54A2}">
            <xm:f>PBW!$B$5="MFR"</xm:f>
            <x14:dxf>
              <font>
                <b/>
                <i val="0"/>
                <strike val="0"/>
                <color theme="0"/>
              </font>
              <fill>
                <patternFill>
                  <bgColor theme="9" tint="-0.24994659260841701"/>
                </patternFill>
              </fill>
            </x14:dxf>
          </x14:cfRule>
          <x14:cfRule type="expression" priority="21" id="{7F6C222B-2E2C-744E-ADD3-47470A493125}">
            <xm:f>PBW!$B$5="P&amp;D"</xm:f>
            <x14:dxf>
              <font>
                <b/>
                <i val="0"/>
                <strike val="0"/>
                <color theme="0"/>
              </font>
              <fill>
                <patternFill>
                  <bgColor theme="7"/>
                </patternFill>
              </fill>
            </x14:dxf>
          </x14:cfRule>
          <x14:cfRule type="expression" priority="22" id="{A2A71C1A-AB09-8540-9057-4A6A8BEBFF3C}">
            <xm:f>PBW!$B$5="MP"</xm:f>
            <x14:dxf>
              <font>
                <b/>
                <i val="0"/>
                <strike val="0"/>
                <color theme="0"/>
              </font>
              <fill>
                <patternFill>
                  <bgColor theme="3"/>
                </patternFill>
              </fill>
            </x14:dxf>
          </x14:cfRule>
          <x14:cfRule type="expression" priority="24" id="{9FF15270-4823-8242-BE10-4C0CDC75F100}">
            <xm:f>PBW!$B$5="IS"</xm:f>
            <x14:dxf>
              <font>
                <b/>
                <i val="0"/>
                <strike val="0"/>
                <color theme="0"/>
              </font>
              <fill>
                <patternFill>
                  <bgColor rgb="FFBE9000"/>
                </patternFill>
              </fill>
            </x14:dxf>
          </x14:cfRule>
          <x14:cfRule type="expression" priority="25" id="{A752918C-7ED4-5849-9BA7-29FE7B7BF4DD}">
            <xm:f>PBW!$B$5="AA"</xm:f>
            <x14:dxf>
              <font>
                <b/>
                <i val="0"/>
                <strike val="0"/>
                <color theme="0"/>
              </font>
              <fill>
                <patternFill>
                  <bgColor rgb="FF538134"/>
                </patternFill>
              </fill>
            </x14:dxf>
          </x14:cfRule>
          <x14:cfRule type="expression" priority="20" id="{81C25943-6BA2-1844-AA5E-977EFECB0FB7}">
            <xm:f>PBW!$B$5="SP"</xm:f>
            <x14:dxf>
              <font>
                <b/>
                <i val="0"/>
                <strike val="0"/>
                <color theme="0"/>
              </font>
              <fill>
                <patternFill>
                  <bgColor theme="5"/>
                </patternFill>
              </fill>
            </x14:dxf>
          </x14:cfRule>
          <xm:sqref>A46:D46 F46:H46</xm:sqref>
        </x14:conditionalFormatting>
        <x14:conditionalFormatting xmlns:xm="http://schemas.microsoft.com/office/excel/2006/main">
          <x14:cfRule type="expression" priority="27" id="{68DE48B0-B4DA-5944-9EF2-7D2A3E3FE36F}">
            <xm:f>PBW!$B$5="P&amp;D"</xm:f>
            <x14:dxf>
              <font>
                <b/>
                <i val="0"/>
                <strike val="0"/>
                <color theme="7"/>
              </font>
              <fill>
                <patternFill>
                  <bgColor theme="7" tint="0.79998168889431442"/>
                </patternFill>
              </fill>
            </x14:dxf>
          </x14:cfRule>
          <x14:cfRule type="expression" priority="28" id="{C4AF4E20-A816-AA4A-B173-E4994EF449DA}">
            <xm:f>PBW!$B$5="MP"</xm:f>
            <x14:dxf>
              <font>
                <b/>
                <i val="0"/>
                <strike val="0"/>
                <color theme="3"/>
              </font>
              <fill>
                <patternFill>
                  <bgColor theme="4" tint="0.79998168889431442"/>
                </patternFill>
              </fill>
            </x14:dxf>
          </x14:cfRule>
          <x14:cfRule type="expression" priority="29" id="{ABAC261C-77D6-3C46-9F4D-048AC7D179C8}">
            <xm:f>PBW!$B$5="MFR"</xm:f>
            <x14:dxf>
              <font>
                <b/>
                <i val="0"/>
                <strike val="0"/>
                <color theme="9" tint="-0.24994659260841701"/>
              </font>
              <fill>
                <patternFill>
                  <bgColor theme="9" tint="0.79998168889431442"/>
                </patternFill>
              </fill>
            </x14:dxf>
          </x14:cfRule>
          <x14:cfRule type="expression" priority="30" id="{A6FCB951-6736-884B-B0F6-A00FBBAC5E78}">
            <xm:f>PBW!$B$5="IS"</xm:f>
            <x14:dxf>
              <font>
                <b/>
                <i val="0"/>
                <strike val="0"/>
                <color rgb="FF7F6000"/>
              </font>
              <fill>
                <patternFill>
                  <bgColor rgb="FFFFF3CC"/>
                </patternFill>
              </fill>
            </x14:dxf>
          </x14:cfRule>
          <x14:cfRule type="expression" priority="31" id="{79C35D21-8071-0546-9E8E-CD570195A84C}">
            <xm:f>PBW!$B$5="AA"</xm:f>
            <x14:dxf>
              <font>
                <b/>
                <i val="0"/>
                <strike val="0"/>
                <color rgb="FF538134"/>
              </font>
              <fill>
                <patternFill>
                  <bgColor rgb="FFE2EFDA"/>
                </patternFill>
              </fill>
            </x14:dxf>
          </x14:cfRule>
          <x14:cfRule type="expression" priority="26" id="{50DFEB43-4015-034A-A515-0DF1747DDC6B}">
            <xm:f>PBW!$B$5="SP"</xm:f>
            <x14:dxf>
              <font>
                <b/>
                <i val="0"/>
                <strike val="0"/>
                <color theme="5"/>
              </font>
              <fill>
                <patternFill>
                  <bgColor theme="5" tint="0.79998168889431442"/>
                </patternFill>
              </fill>
            </x14:dxf>
          </x14:cfRule>
          <xm:sqref>A24:G24 A28:G28 A32:G32 A34:G34 A36:G36 A40:G40</xm:sqref>
        </x14:conditionalFormatting>
        <x14:conditionalFormatting xmlns:xm="http://schemas.microsoft.com/office/excel/2006/main">
          <x14:cfRule type="expression" priority="37" id="{A9C7EC13-1E17-B742-AF3B-55472D8ED46C}">
            <xm:f>PBW!$B$5="AA"</xm:f>
            <x14:dxf>
              <font>
                <b/>
                <i val="0"/>
                <strike val="0"/>
                <color theme="0"/>
              </font>
              <fill>
                <patternFill>
                  <bgColor rgb="FF538135"/>
                </patternFill>
              </fill>
            </x14:dxf>
          </x14:cfRule>
          <x14:cfRule type="expression" priority="32" id="{C6846D4F-CBE3-ED4F-8646-0EFB714FCF03}">
            <xm:f>PBW!$B$5="SP"</xm:f>
            <x14:dxf>
              <font>
                <b/>
                <i val="0"/>
                <strike val="0"/>
                <color theme="0"/>
              </font>
              <fill>
                <patternFill>
                  <bgColor theme="5"/>
                </patternFill>
              </fill>
            </x14:dxf>
          </x14:cfRule>
          <x14:cfRule type="expression" priority="33" id="{CECF8EFC-EFD1-A540-A2F1-45CAED0B56A7}">
            <xm:f>PBW!$B$5="P&amp;D"</xm:f>
            <x14:dxf>
              <font>
                <b/>
                <i val="0"/>
                <strike val="0"/>
                <color theme="0"/>
              </font>
              <fill>
                <patternFill>
                  <bgColor theme="7"/>
                </patternFill>
              </fill>
            </x14:dxf>
          </x14:cfRule>
          <x14:cfRule type="expression" priority="34" id="{AF0A65A8-0F5C-DA4A-BF86-287AF43A4036}">
            <xm:f>PBW!$B$5="MP"</xm:f>
            <x14:dxf>
              <font>
                <b/>
                <i val="0"/>
                <strike val="0"/>
                <color theme="0"/>
              </font>
              <fill>
                <patternFill>
                  <bgColor theme="3"/>
                </patternFill>
              </fill>
            </x14:dxf>
          </x14:cfRule>
          <x14:cfRule type="expression" priority="35" id="{DF11EE30-240C-8640-9045-3C8526ECEEBF}">
            <xm:f>PBW!$B$5="MFR"</xm:f>
            <x14:dxf>
              <font>
                <b/>
                <i val="0"/>
                <strike val="0"/>
                <color theme="0"/>
              </font>
              <fill>
                <patternFill>
                  <bgColor theme="9" tint="-0.24994659260841701"/>
                </patternFill>
              </fill>
            </x14:dxf>
          </x14:cfRule>
          <x14:cfRule type="expression" priority="36" id="{4C199ED4-2256-4248-9032-F8BC1EB24CCB}">
            <xm:f>PBW!$B$5="IS"</xm:f>
            <x14:dxf>
              <font>
                <b/>
                <i val="0"/>
                <strike val="0"/>
                <color theme="0"/>
              </font>
              <fill>
                <patternFill>
                  <bgColor rgb="FFBE9000"/>
                </patternFill>
              </fill>
            </x14:dxf>
          </x14:cfRule>
          <xm:sqref>A1:H1</xm:sqref>
        </x14:conditionalFormatting>
        <x14:conditionalFormatting xmlns:xm="http://schemas.microsoft.com/office/excel/2006/main">
          <x14:cfRule type="expression" priority="17" id="{03313E31-935B-5348-84F8-E00E1190B85E}">
            <xm:f>PBW!$B$5="IS"</xm:f>
            <x14:dxf>
              <font>
                <strike val="0"/>
                <color rgb="FF7F6000"/>
              </font>
            </x14:dxf>
          </x14:cfRule>
          <x14:cfRule type="expression" priority="14" id="{2D1669D5-E2C2-4643-A300-A5F4C5EE80D2}">
            <xm:f>PBW!$B$5="P&amp;D"</xm:f>
            <x14:dxf>
              <font>
                <strike val="0"/>
                <color theme="7"/>
              </font>
            </x14:dxf>
          </x14:cfRule>
          <x14:cfRule type="expression" priority="15" id="{7E1FD705-40BF-494E-95F4-7FE4A8AF7970}">
            <xm:f>PBW!$B$5="MP"</xm:f>
            <x14:dxf>
              <font>
                <strike val="0"/>
                <color theme="3"/>
              </font>
            </x14:dxf>
          </x14:cfRule>
          <x14:cfRule type="expression" priority="18" id="{210D19D1-69D6-8445-B0BF-7C1DB1A9D76C}">
            <xm:f>PBW!$B$5="AA"</xm:f>
            <x14:dxf>
              <font>
                <strike val="0"/>
                <color rgb="FF538134"/>
              </font>
            </x14:dxf>
          </x14:cfRule>
          <x14:cfRule type="expression" priority="16" id="{28ADFC0A-E9DF-F44D-8F5A-EE343020C784}">
            <xm:f>PBW!$B$5="MFR"</xm:f>
            <x14:dxf>
              <font>
                <strike val="0"/>
                <color theme="9" tint="-0.24994659260841701"/>
              </font>
            </x14:dxf>
          </x14:cfRule>
          <x14:cfRule type="expression" priority="13" id="{A2E128A8-1426-F74A-AA75-AA530DE0261C}">
            <xm:f>PBW!$B$5="SP"</xm:f>
            <x14:dxf>
              <font>
                <strike val="0"/>
                <color theme="5"/>
              </font>
            </x14:dxf>
          </x14:cfRule>
          <xm:sqref>D48:D49 H48:I53 D51:D52 D54:D56</xm:sqref>
        </x14:conditionalFormatting>
        <x14:conditionalFormatting xmlns:xm="http://schemas.microsoft.com/office/excel/2006/main">
          <x14:cfRule type="expression" priority="2" id="{F2B193A2-474F-AD4C-98D4-763EC5456223}">
            <xm:f>PBW!$B$5="P&amp;D"</xm:f>
            <x14:dxf>
              <font>
                <b/>
                <i val="0"/>
                <strike val="0"/>
                <color theme="7"/>
              </font>
            </x14:dxf>
          </x14:cfRule>
          <x14:cfRule type="expression" priority="3" id="{A846DB35-BD14-D146-B75E-9816F423A74B}">
            <xm:f>PBW!$B$5="MP"</xm:f>
            <x14:dxf>
              <font>
                <b/>
                <i val="0"/>
                <strike val="0"/>
                <color theme="3"/>
              </font>
            </x14:dxf>
          </x14:cfRule>
          <x14:cfRule type="expression" priority="4" id="{5E166543-DE82-8B4D-BF02-8816DB4FA0B3}">
            <xm:f>PBW!$B$5="MFR"</xm:f>
            <x14:dxf>
              <font>
                <b/>
                <i val="0"/>
                <strike val="0"/>
                <color theme="9" tint="-0.24994659260841701"/>
              </font>
            </x14:dxf>
          </x14:cfRule>
          <x14:cfRule type="expression" priority="5" id="{90446603-B349-434F-91AC-BCC1264519D9}">
            <xm:f>PBW!$B$5="IS"</xm:f>
            <x14:dxf>
              <font>
                <b/>
                <i val="0"/>
                <strike val="0"/>
                <color rgb="FF7F6000"/>
              </font>
            </x14:dxf>
          </x14:cfRule>
          <x14:cfRule type="expression" priority="6" id="{6485BA7D-0536-BE4F-AD29-F71974EE9805}">
            <xm:f>PBW!$B$5="AA"</xm:f>
            <x14:dxf>
              <font>
                <b/>
                <i val="0"/>
                <strike val="0"/>
                <color rgb="FF538134"/>
              </font>
            </x14:dxf>
          </x14:cfRule>
          <x14:cfRule type="expression" priority="1" id="{3B0F4469-1EC3-2949-8F77-1B163C479A6A}">
            <xm:f>PBW!$B$5="SP"</xm:f>
            <x14:dxf>
              <font>
                <b/>
                <i val="0"/>
                <strike val="0"/>
                <color theme="5"/>
              </font>
            </x14:dxf>
          </x14:cfRule>
          <xm:sqref>D50 D53 H54:I54 D57</xm:sqref>
        </x14:conditionalFormatting>
      </x14:conditionalFormattings>
    </ex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5"/>
  </sheetPr>
  <dimension ref="A1:H186"/>
  <sheetViews>
    <sheetView showGridLines="0" tabSelected="1" view="pageLayout" zoomScaleNormal="100" workbookViewId="0">
      <selection activeCell="B3" sqref="B3:E3"/>
    </sheetView>
  </sheetViews>
  <sheetFormatPr baseColWidth="10" defaultColWidth="8.19921875" defaultRowHeight="12"/>
  <cols>
    <col min="1" max="1" width="20" customWidth="1"/>
    <col min="2" max="2" width="18" customWidth="1"/>
    <col min="3" max="3" width="11.796875" customWidth="1"/>
    <col min="4" max="4" width="13.59765625" customWidth="1"/>
    <col min="5" max="5" width="11.796875" customWidth="1"/>
    <col min="6" max="6" width="10" customWidth="1"/>
    <col min="7" max="8" width="13.59765625" customWidth="1"/>
  </cols>
  <sheetData>
    <row r="1" spans="1:8" ht="13">
      <c r="A1" s="429" t="s">
        <v>433</v>
      </c>
      <c r="B1" s="430"/>
      <c r="C1" s="430"/>
      <c r="D1" s="430"/>
      <c r="E1" s="430"/>
      <c r="F1" s="430"/>
      <c r="G1" s="430"/>
      <c r="H1" s="431" t="str">
        <f>"PROJECT BUDGET WORKSHEET"&amp;" "&amp;VERSION</f>
        <v>PROJECT BUDGET WORKSHEET Rev. 2024-03</v>
      </c>
    </row>
    <row r="2" spans="1:8" ht="6" customHeight="1">
      <c r="A2" s="5"/>
      <c r="B2" s="5"/>
      <c r="C2" s="5"/>
      <c r="D2" s="5"/>
      <c r="E2" s="5"/>
      <c r="F2" s="1" t="s">
        <v>20</v>
      </c>
      <c r="G2" s="5"/>
      <c r="H2" s="5"/>
    </row>
    <row r="3" spans="1:8">
      <c r="A3" s="2" t="s">
        <v>21</v>
      </c>
      <c r="B3" s="588" t="s">
        <v>100</v>
      </c>
      <c r="C3" s="588"/>
      <c r="D3" s="588"/>
      <c r="E3" s="588"/>
      <c r="F3" s="1" t="s">
        <v>171</v>
      </c>
      <c r="G3" s="5"/>
      <c r="H3" s="496">
        <f ca="1">NOW()</f>
        <v>45350.908241550926</v>
      </c>
    </row>
    <row r="4" spans="1:8">
      <c r="A4" s="2" t="s">
        <v>101</v>
      </c>
      <c r="B4" s="461" t="s">
        <v>100</v>
      </c>
      <c r="C4" s="587"/>
      <c r="D4" s="587"/>
      <c r="E4" s="587"/>
      <c r="F4" s="1" t="s">
        <v>172</v>
      </c>
      <c r="G4" s="8"/>
      <c r="H4" s="497" t="s">
        <v>4</v>
      </c>
    </row>
    <row r="5" spans="1:8" ht="13" thickBot="1">
      <c r="A5" s="11" t="s">
        <v>266</v>
      </c>
      <c r="B5" s="461" t="s">
        <v>100</v>
      </c>
      <c r="C5" s="587"/>
      <c r="D5" s="587"/>
      <c r="E5" s="587"/>
      <c r="F5" s="5" t="s">
        <v>52</v>
      </c>
      <c r="G5" s="5"/>
      <c r="H5" s="498" t="s">
        <v>4</v>
      </c>
    </row>
    <row r="6" spans="1:8" ht="13" thickBot="1">
      <c r="A6" s="2" t="s">
        <v>102</v>
      </c>
      <c r="B6" s="461" t="s">
        <v>100</v>
      </c>
      <c r="C6" s="587"/>
      <c r="D6" s="587"/>
      <c r="E6" s="587"/>
      <c r="F6" s="2" t="s">
        <v>79</v>
      </c>
      <c r="G6" s="5"/>
      <c r="H6" s="226">
        <f>VALUE($H$174)</f>
        <v>0</v>
      </c>
    </row>
    <row r="7" spans="1:8" ht="6" customHeight="1">
      <c r="A7" s="5"/>
      <c r="B7" s="5"/>
      <c r="C7" s="587"/>
      <c r="D7" s="587"/>
      <c r="E7" s="587"/>
      <c r="F7" s="5"/>
      <c r="G7" s="5"/>
      <c r="H7" s="5"/>
    </row>
    <row r="8" spans="1:8">
      <c r="A8" s="2" t="s">
        <v>23</v>
      </c>
      <c r="B8" s="5"/>
      <c r="C8" s="587"/>
      <c r="D8" s="587"/>
      <c r="E8" s="587"/>
      <c r="F8" s="5"/>
      <c r="G8" s="116" t="s">
        <v>173</v>
      </c>
      <c r="H8" s="114" t="s">
        <v>174</v>
      </c>
    </row>
    <row r="9" spans="1:8">
      <c r="A9" s="1" t="s">
        <v>24</v>
      </c>
      <c r="B9" s="494">
        <f>($B$25)</f>
        <v>0</v>
      </c>
      <c r="C9" s="5"/>
      <c r="D9" s="5"/>
      <c r="E9" s="5"/>
      <c r="F9" s="1" t="s">
        <v>61</v>
      </c>
      <c r="G9" s="311">
        <f>INDEX(ENR!$B$19:$M$99,MATCH(YEAR($H$9),ENR!$A$19:$A$99,1),MATCH(MONTH($H$9),ENR!$B$18:$M$18,1))</f>
        <v>8288.93</v>
      </c>
      <c r="H9" s="499">
        <f>(LOOKUPS!$A$2)</f>
        <v>45352</v>
      </c>
    </row>
    <row r="10" spans="1:8">
      <c r="A10" s="1" t="s">
        <v>25</v>
      </c>
      <c r="B10" s="495">
        <f>($D$25)</f>
        <v>0</v>
      </c>
      <c r="C10" s="58">
        <f>IF(ISERR($B$9/$B$10),0,($B$9/$B$10))</f>
        <v>0</v>
      </c>
      <c r="D10" s="5" t="s">
        <v>57</v>
      </c>
      <c r="E10" s="125" t="str">
        <f>IF($H$10&lt;$H$9,"ERROR!","")</f>
        <v/>
      </c>
      <c r="F10" s="1" t="s">
        <v>281</v>
      </c>
      <c r="G10" s="311">
        <f>INDEX(ENR!$B$19:$M$99,MATCH(YEAR($H$10),ENR!$A$19:$A$99,1),MATCH(MONTH($H$10),ENR!$B$18:$M$18,1))</f>
        <v>11405.817660794259</v>
      </c>
      <c r="H10" s="500">
        <v>47300</v>
      </c>
    </row>
    <row r="11" spans="1:8">
      <c r="A11" s="1"/>
      <c r="B11" s="3"/>
      <c r="C11" s="4"/>
      <c r="D11" s="5"/>
      <c r="E11" s="5"/>
      <c r="F11" s="1" t="s">
        <v>252</v>
      </c>
      <c r="G11" s="5"/>
      <c r="H11" s="118">
        <f>($G$10/$G$9)</f>
        <v>1.3760301583912831</v>
      </c>
    </row>
    <row r="12" spans="1:8">
      <c r="A12" s="2" t="s">
        <v>26</v>
      </c>
      <c r="B12" s="9"/>
      <c r="C12" s="8"/>
      <c r="D12" s="5"/>
      <c r="E12" s="117" t="str">
        <f>IF($H$12&lt;&gt;$H$11,"WARNING! ENR ESCALATION VALUES DO NOT MATCH!","")</f>
        <v/>
      </c>
      <c r="F12" s="1" t="s">
        <v>420</v>
      </c>
      <c r="G12" s="5"/>
      <c r="H12" s="338">
        <f>($H$11)</f>
        <v>1.3760301583912831</v>
      </c>
    </row>
    <row r="13" spans="1:8">
      <c r="A13" s="1" t="s">
        <v>28</v>
      </c>
      <c r="B13" s="494">
        <f>($D$37)</f>
        <v>0</v>
      </c>
      <c r="C13" s="8"/>
      <c r="D13" s="5"/>
      <c r="E13" s="5"/>
      <c r="F13" s="1" t="s">
        <v>182</v>
      </c>
      <c r="G13" s="5"/>
      <c r="H13" s="118">
        <f>($H$12-$H$11)</f>
        <v>0</v>
      </c>
    </row>
    <row r="14" spans="1:8">
      <c r="A14" s="1" t="s">
        <v>29</v>
      </c>
      <c r="B14" s="495">
        <v>0</v>
      </c>
      <c r="C14" s="58">
        <f>IF(ISERR($B$13/$B$14),0,($B$13/$B$14))</f>
        <v>0</v>
      </c>
      <c r="D14" s="5" t="s">
        <v>58</v>
      </c>
      <c r="E14" s="5"/>
      <c r="F14" s="1" t="s">
        <v>170</v>
      </c>
      <c r="G14" s="115" t="str">
        <f>IF($H$174&gt;5000,((VLOOKUP($H$174,DURATION,3))/365)*(12)&amp;" months","")</f>
        <v/>
      </c>
      <c r="H14" s="36" t="str">
        <f>IF($H$174&gt;5000,((VLOOKUP($H$174,DURATION,3))+$H$10),"")</f>
        <v/>
      </c>
    </row>
    <row r="15" spans="1:8" ht="6" customHeight="1" thickBot="1">
      <c r="A15" s="10"/>
      <c r="B15" s="10"/>
      <c r="C15" s="10"/>
      <c r="D15" s="10"/>
      <c r="E15" s="10"/>
      <c r="F15" s="10"/>
      <c r="G15" s="10"/>
      <c r="H15" s="10"/>
    </row>
    <row r="16" spans="1:8">
      <c r="A16" s="2" t="s">
        <v>48</v>
      </c>
      <c r="B16" s="11"/>
      <c r="C16" s="5"/>
      <c r="D16" s="5"/>
      <c r="E16" s="5"/>
      <c r="F16" s="5"/>
      <c r="G16" s="12"/>
      <c r="H16" s="5"/>
    </row>
    <row r="17" spans="1:8">
      <c r="A17" s="1" t="s">
        <v>30</v>
      </c>
      <c r="B17" s="12" t="s">
        <v>31</v>
      </c>
      <c r="C17" s="12" t="s">
        <v>32</v>
      </c>
      <c r="D17" s="14" t="s">
        <v>33</v>
      </c>
      <c r="E17" s="12" t="s">
        <v>34</v>
      </c>
      <c r="F17" s="14"/>
      <c r="G17" s="14" t="s">
        <v>1</v>
      </c>
      <c r="H17" s="5"/>
    </row>
    <row r="18" spans="1:8">
      <c r="A18" s="478" t="s">
        <v>51</v>
      </c>
      <c r="B18" s="479">
        <v>0</v>
      </c>
      <c r="C18" s="480">
        <v>0</v>
      </c>
      <c r="D18" s="432">
        <f>IF($B18&gt;0,ROUND($B18/$C18,-2),0)</f>
        <v>0</v>
      </c>
      <c r="E18" s="490">
        <v>0</v>
      </c>
      <c r="F18" s="433"/>
      <c r="G18" s="434">
        <f>ROUND($D18*$E18,-2)</f>
        <v>0</v>
      </c>
      <c r="H18" s="5"/>
    </row>
    <row r="19" spans="1:8">
      <c r="A19" s="481" t="s">
        <v>51</v>
      </c>
      <c r="B19" s="482">
        <v>0</v>
      </c>
      <c r="C19" s="483">
        <v>0</v>
      </c>
      <c r="D19" s="37">
        <f>IF($B19&gt;0,ROUND($B19/$C19,-2),0)</f>
        <v>0</v>
      </c>
      <c r="E19" s="491">
        <v>0</v>
      </c>
      <c r="F19" s="15"/>
      <c r="G19" s="32">
        <f>ROUND($D19*$E19,-2)</f>
        <v>0</v>
      </c>
      <c r="H19" s="5"/>
    </row>
    <row r="20" spans="1:8">
      <c r="A20" s="481" t="s">
        <v>51</v>
      </c>
      <c r="B20" s="482">
        <v>0</v>
      </c>
      <c r="C20" s="483">
        <v>0</v>
      </c>
      <c r="D20" s="37">
        <f t="shared" ref="D20:D22" si="0">IF($B20&gt;0,ROUND($B20/$C20,-2),0)</f>
        <v>0</v>
      </c>
      <c r="E20" s="491">
        <v>0</v>
      </c>
      <c r="F20" s="15"/>
      <c r="G20" s="32">
        <f t="shared" ref="G20:G22" si="1">ROUND($D20*$E20,-2)</f>
        <v>0</v>
      </c>
      <c r="H20" s="5"/>
    </row>
    <row r="21" spans="1:8">
      <c r="A21" s="484" t="s">
        <v>51</v>
      </c>
      <c r="B21" s="485">
        <v>0</v>
      </c>
      <c r="C21" s="486">
        <v>0</v>
      </c>
      <c r="D21" s="435">
        <f t="shared" si="0"/>
        <v>0</v>
      </c>
      <c r="E21" s="492">
        <v>0</v>
      </c>
      <c r="F21" s="436"/>
      <c r="G21" s="437">
        <f t="shared" si="1"/>
        <v>0</v>
      </c>
      <c r="H21" s="5"/>
    </row>
    <row r="22" spans="1:8">
      <c r="A22" s="481" t="s">
        <v>51</v>
      </c>
      <c r="B22" s="482">
        <v>0</v>
      </c>
      <c r="C22" s="483">
        <v>0</v>
      </c>
      <c r="D22" s="37">
        <f t="shared" si="0"/>
        <v>0</v>
      </c>
      <c r="E22" s="491">
        <v>0</v>
      </c>
      <c r="F22" s="15"/>
      <c r="G22" s="32">
        <f t="shared" si="1"/>
        <v>0</v>
      </c>
      <c r="H22" s="5"/>
    </row>
    <row r="23" spans="1:8">
      <c r="A23" s="481" t="s">
        <v>51</v>
      </c>
      <c r="B23" s="482">
        <v>0</v>
      </c>
      <c r="C23" s="483">
        <v>0</v>
      </c>
      <c r="D23" s="37">
        <f>IF($B23&gt;0,ROUND($B23/$C23,-2),0)</f>
        <v>0</v>
      </c>
      <c r="E23" s="491">
        <v>0</v>
      </c>
      <c r="F23" s="15"/>
      <c r="G23" s="32">
        <f>ROUND($D23*$E23,-2)</f>
        <v>0</v>
      </c>
      <c r="H23" s="5"/>
    </row>
    <row r="24" spans="1:8">
      <c r="A24" s="487" t="s">
        <v>51</v>
      </c>
      <c r="B24" s="488">
        <v>0</v>
      </c>
      <c r="C24" s="489">
        <v>0</v>
      </c>
      <c r="D24" s="432">
        <f>IF($B24&gt;0,ROUND($B24/$C24,-2),0)</f>
        <v>0</v>
      </c>
      <c r="E24" s="493">
        <v>0</v>
      </c>
      <c r="F24" s="433"/>
      <c r="G24" s="434">
        <f>ROUND($D24*$E24,-2)</f>
        <v>0</v>
      </c>
      <c r="H24" s="5"/>
    </row>
    <row r="25" spans="1:8">
      <c r="A25" s="5"/>
      <c r="B25" s="28">
        <f>SUM(B$18:B$24)</f>
        <v>0</v>
      </c>
      <c r="C25" s="3"/>
      <c r="D25" s="28">
        <f>SUM(D$18:D$24)</f>
        <v>0</v>
      </c>
      <c r="E25" s="32"/>
      <c r="F25" s="1" t="s">
        <v>35</v>
      </c>
      <c r="G25" s="32">
        <f>ROUND(SUM(G$18:G$24),-3)</f>
        <v>0</v>
      </c>
      <c r="H25" s="5"/>
    </row>
    <row r="26" spans="1:8">
      <c r="A26" s="5" t="s">
        <v>138</v>
      </c>
      <c r="B26" s="3"/>
      <c r="C26" s="3"/>
      <c r="D26" s="3"/>
      <c r="E26" s="3"/>
      <c r="F26" s="1"/>
      <c r="G26" s="3"/>
      <c r="H26" s="73">
        <f>($G$25)</f>
        <v>0</v>
      </c>
    </row>
    <row r="27" spans="1:8" ht="6" customHeight="1">
      <c r="A27" s="5"/>
      <c r="B27" s="3"/>
      <c r="C27" s="3"/>
      <c r="D27" s="3"/>
      <c r="E27" s="3"/>
      <c r="F27" s="1"/>
      <c r="G27" s="3"/>
      <c r="H27" s="16"/>
    </row>
    <row r="28" spans="1:8">
      <c r="A28" s="2" t="s">
        <v>49</v>
      </c>
      <c r="B28" s="11"/>
      <c r="C28" s="5"/>
      <c r="D28" s="5"/>
      <c r="E28" s="5"/>
      <c r="F28" s="5"/>
      <c r="G28" s="12"/>
      <c r="H28" s="5"/>
    </row>
    <row r="29" spans="1:8">
      <c r="A29" s="1" t="s">
        <v>30</v>
      </c>
      <c r="B29" s="12" t="s">
        <v>31</v>
      </c>
      <c r="C29" s="12" t="s">
        <v>32</v>
      </c>
      <c r="D29" s="14" t="s">
        <v>33</v>
      </c>
      <c r="E29" s="12" t="s">
        <v>34</v>
      </c>
      <c r="F29" s="14"/>
      <c r="G29" s="14" t="s">
        <v>1</v>
      </c>
      <c r="H29" s="5"/>
    </row>
    <row r="30" spans="1:8">
      <c r="A30" s="478" t="s">
        <v>51</v>
      </c>
      <c r="B30" s="479">
        <v>0</v>
      </c>
      <c r="C30" s="480">
        <v>0</v>
      </c>
      <c r="D30" s="432">
        <f>IF($B30&gt;0,ROUND($B30/$C30,-2),0)</f>
        <v>0</v>
      </c>
      <c r="E30" s="490">
        <v>0</v>
      </c>
      <c r="F30" s="433"/>
      <c r="G30" s="434">
        <f>ROUND($D30*$E30,-2)</f>
        <v>0</v>
      </c>
      <c r="H30" s="5"/>
    </row>
    <row r="31" spans="1:8">
      <c r="A31" s="481" t="s">
        <v>51</v>
      </c>
      <c r="B31" s="482">
        <v>0</v>
      </c>
      <c r="C31" s="483">
        <v>0</v>
      </c>
      <c r="D31" s="37">
        <f>IF($B31&gt;0,ROUND($B31/$C31,-2),0)</f>
        <v>0</v>
      </c>
      <c r="E31" s="491">
        <v>0</v>
      </c>
      <c r="F31" s="15"/>
      <c r="G31" s="32">
        <f>ROUND($D31*$E31,-2)</f>
        <v>0</v>
      </c>
      <c r="H31" s="5"/>
    </row>
    <row r="32" spans="1:8">
      <c r="A32" s="481" t="s">
        <v>51</v>
      </c>
      <c r="B32" s="482">
        <v>0</v>
      </c>
      <c r="C32" s="483">
        <v>0</v>
      </c>
      <c r="D32" s="37">
        <f t="shared" ref="D32:D34" si="2">IF($B32&gt;0,ROUND($B32/$C32,-2),0)</f>
        <v>0</v>
      </c>
      <c r="E32" s="491">
        <v>0</v>
      </c>
      <c r="F32" s="15"/>
      <c r="G32" s="32">
        <f t="shared" ref="G32:G34" si="3">ROUND($D32*$E32,-2)</f>
        <v>0</v>
      </c>
      <c r="H32" s="5"/>
    </row>
    <row r="33" spans="1:8">
      <c r="A33" s="484" t="s">
        <v>51</v>
      </c>
      <c r="B33" s="485">
        <v>0</v>
      </c>
      <c r="C33" s="486">
        <v>0</v>
      </c>
      <c r="D33" s="435">
        <f t="shared" si="2"/>
        <v>0</v>
      </c>
      <c r="E33" s="492">
        <v>0</v>
      </c>
      <c r="F33" s="436"/>
      <c r="G33" s="437">
        <f t="shared" si="3"/>
        <v>0</v>
      </c>
      <c r="H33" s="5"/>
    </row>
    <row r="34" spans="1:8">
      <c r="A34" s="481" t="s">
        <v>51</v>
      </c>
      <c r="B34" s="482">
        <v>0</v>
      </c>
      <c r="C34" s="483">
        <v>0</v>
      </c>
      <c r="D34" s="37">
        <f t="shared" si="2"/>
        <v>0</v>
      </c>
      <c r="E34" s="491">
        <v>0</v>
      </c>
      <c r="F34" s="15"/>
      <c r="G34" s="32">
        <f t="shared" si="3"/>
        <v>0</v>
      </c>
      <c r="H34" s="5"/>
    </row>
    <row r="35" spans="1:8">
      <c r="A35" s="481" t="s">
        <v>51</v>
      </c>
      <c r="B35" s="482">
        <v>0</v>
      </c>
      <c r="C35" s="483">
        <v>0</v>
      </c>
      <c r="D35" s="37">
        <f>IF($B35&gt;0,ROUND($B35/$C35,-2),0)</f>
        <v>0</v>
      </c>
      <c r="E35" s="491">
        <v>0</v>
      </c>
      <c r="F35" s="15"/>
      <c r="G35" s="32">
        <f>ROUND($D35*$E35,-2)</f>
        <v>0</v>
      </c>
      <c r="H35" s="5"/>
    </row>
    <row r="36" spans="1:8">
      <c r="A36" s="487" t="s">
        <v>51</v>
      </c>
      <c r="B36" s="488">
        <v>0</v>
      </c>
      <c r="C36" s="489">
        <v>0</v>
      </c>
      <c r="D36" s="432">
        <f>IF($B36&gt;0,ROUND($B36/$C36,-2),0)</f>
        <v>0</v>
      </c>
      <c r="E36" s="493">
        <v>0</v>
      </c>
      <c r="F36" s="433"/>
      <c r="G36" s="434">
        <f>ROUND($D36*$E36,-2)</f>
        <v>0</v>
      </c>
      <c r="H36" s="5"/>
    </row>
    <row r="37" spans="1:8">
      <c r="A37" s="5"/>
      <c r="B37" s="28">
        <f>SUM(B$30:B$36)</f>
        <v>0</v>
      </c>
      <c r="C37" s="3"/>
      <c r="D37" s="28">
        <f>SUM(D$30:D$36)</f>
        <v>0</v>
      </c>
      <c r="E37" s="3"/>
      <c r="F37" s="1" t="s">
        <v>35</v>
      </c>
      <c r="G37" s="32">
        <f>ROUND(SUM(G$30:G$36),-3)</f>
        <v>0</v>
      </c>
      <c r="H37" s="73">
        <f>($G$37)</f>
        <v>0</v>
      </c>
    </row>
    <row r="38" spans="1:8">
      <c r="A38" s="11" t="s">
        <v>50</v>
      </c>
      <c r="B38" s="3"/>
      <c r="C38" s="3"/>
      <c r="D38" s="3"/>
      <c r="E38" s="3"/>
      <c r="F38" s="5"/>
      <c r="G38" s="12"/>
      <c r="H38" s="3"/>
    </row>
    <row r="39" spans="1:8">
      <c r="A39" s="13" t="s">
        <v>36</v>
      </c>
      <c r="B39" s="5"/>
      <c r="C39" s="5"/>
      <c r="D39" s="14" t="s">
        <v>33</v>
      </c>
      <c r="E39" s="14" t="s">
        <v>34</v>
      </c>
      <c r="F39" s="14" t="s">
        <v>428</v>
      </c>
      <c r="G39" s="14" t="s">
        <v>0</v>
      </c>
      <c r="H39" s="5"/>
    </row>
    <row r="40" spans="1:8">
      <c r="A40" s="438" t="s">
        <v>37</v>
      </c>
      <c r="B40" s="439" t="s">
        <v>86</v>
      </c>
      <c r="C40" s="440"/>
      <c r="D40" s="440"/>
      <c r="E40" s="440"/>
      <c r="F40" s="440"/>
      <c r="G40" s="440"/>
      <c r="H40" s="5"/>
    </row>
    <row r="41" spans="1:8">
      <c r="A41" s="424" t="s">
        <v>413</v>
      </c>
      <c r="B41" s="585" t="s">
        <v>100</v>
      </c>
      <c r="C41" s="586"/>
      <c r="D41" s="472">
        <v>0</v>
      </c>
      <c r="E41" s="473">
        <f t="shared" ref="E41:E44" si="4">($F41)</f>
        <v>17</v>
      </c>
      <c r="F41" s="49">
        <f>ROUNDUP((10*ENR!$S$15),0)</f>
        <v>17</v>
      </c>
      <c r="G41" s="32">
        <f>ROUND($D41*$E41,-2)</f>
        <v>0</v>
      </c>
      <c r="H41" s="45"/>
    </row>
    <row r="42" spans="1:8">
      <c r="A42" s="424" t="s">
        <v>414</v>
      </c>
      <c r="B42" s="585" t="s">
        <v>100</v>
      </c>
      <c r="C42" s="586"/>
      <c r="D42" s="474">
        <v>0</v>
      </c>
      <c r="E42" s="475">
        <f t="shared" si="4"/>
        <v>58</v>
      </c>
      <c r="F42" s="49">
        <f>ROUNDUP((35*ENR!$S$15),0)</f>
        <v>58</v>
      </c>
      <c r="G42" s="32">
        <f>ROUND($D42*$E42,-2)</f>
        <v>0</v>
      </c>
      <c r="H42" s="5"/>
    </row>
    <row r="43" spans="1:8">
      <c r="A43" s="424" t="s">
        <v>415</v>
      </c>
      <c r="B43" s="585" t="s">
        <v>100</v>
      </c>
      <c r="C43" s="586"/>
      <c r="D43" s="474">
        <v>0</v>
      </c>
      <c r="E43" s="475">
        <f t="shared" si="4"/>
        <v>96</v>
      </c>
      <c r="F43" s="49">
        <f>ROUNDUP((58.5*ENR!$S$15),0)</f>
        <v>96</v>
      </c>
      <c r="G43" s="32">
        <f>ROUND($D43*$E43,-2)</f>
        <v>0</v>
      </c>
      <c r="H43" s="5"/>
    </row>
    <row r="44" spans="1:8">
      <c r="A44" s="424" t="s">
        <v>416</v>
      </c>
      <c r="B44" s="585" t="s">
        <v>100</v>
      </c>
      <c r="C44" s="586"/>
      <c r="D44" s="476">
        <v>0</v>
      </c>
      <c r="E44" s="477">
        <f t="shared" si="4"/>
        <v>115</v>
      </c>
      <c r="F44" s="49">
        <f>ROUNDUP((70*ENR!$S$15),0)</f>
        <v>115</v>
      </c>
      <c r="G44" s="32">
        <f>ROUND($D44*$E44,-2)</f>
        <v>0</v>
      </c>
      <c r="H44" s="5"/>
    </row>
    <row r="45" spans="1:8">
      <c r="A45" s="438" t="s">
        <v>42</v>
      </c>
      <c r="B45" s="440"/>
      <c r="C45" s="440"/>
      <c r="D45" s="441"/>
      <c r="E45" s="442"/>
      <c r="F45" s="442"/>
      <c r="G45" s="443"/>
      <c r="H45" s="5"/>
    </row>
    <row r="46" spans="1:8">
      <c r="A46" s="424" t="s">
        <v>414</v>
      </c>
      <c r="B46" s="585" t="s">
        <v>100</v>
      </c>
      <c r="C46" s="586"/>
      <c r="D46" s="472">
        <v>0</v>
      </c>
      <c r="E46" s="473">
        <f t="shared" ref="E46:E49" si="5">($F46)</f>
        <v>19</v>
      </c>
      <c r="F46" s="49">
        <f>ROUNDUP((11.25*ENR!$S$15),0)</f>
        <v>19</v>
      </c>
      <c r="G46" s="32">
        <f>ROUND($D46*$E46,-2)</f>
        <v>0</v>
      </c>
      <c r="H46" s="5"/>
    </row>
    <row r="47" spans="1:8">
      <c r="A47" s="424" t="s">
        <v>415</v>
      </c>
      <c r="B47" s="585" t="s">
        <v>100</v>
      </c>
      <c r="C47" s="586"/>
      <c r="D47" s="474">
        <v>0</v>
      </c>
      <c r="E47" s="475">
        <f t="shared" si="5"/>
        <v>32</v>
      </c>
      <c r="F47" s="49">
        <f>ROUNDUP((19.5*ENR!$S$15),0)</f>
        <v>32</v>
      </c>
      <c r="G47" s="32">
        <f>ROUND($D47*$E47,-2)</f>
        <v>0</v>
      </c>
      <c r="H47" s="5"/>
    </row>
    <row r="48" spans="1:8">
      <c r="A48" s="424" t="s">
        <v>416</v>
      </c>
      <c r="B48" s="585" t="s">
        <v>100</v>
      </c>
      <c r="C48" s="586"/>
      <c r="D48" s="474">
        <v>0</v>
      </c>
      <c r="E48" s="475">
        <f t="shared" si="5"/>
        <v>36</v>
      </c>
      <c r="F48" s="49">
        <f>ROUNDUP((22*ENR!$S$15),0)</f>
        <v>36</v>
      </c>
      <c r="G48" s="32">
        <f>ROUND($D48*$E48,-2)</f>
        <v>0</v>
      </c>
      <c r="H48" s="5"/>
    </row>
    <row r="49" spans="1:8">
      <c r="A49" s="424" t="s">
        <v>417</v>
      </c>
      <c r="B49" s="585" t="s">
        <v>100</v>
      </c>
      <c r="C49" s="586"/>
      <c r="D49" s="476">
        <v>0</v>
      </c>
      <c r="E49" s="477">
        <f t="shared" si="5"/>
        <v>68</v>
      </c>
      <c r="F49" s="49">
        <f>ROUNDUP((41.5*ENR!$S$15),0)</f>
        <v>68</v>
      </c>
      <c r="G49" s="32">
        <f>ROUND($D49*$E49,-2)</f>
        <v>0</v>
      </c>
      <c r="H49" s="5"/>
    </row>
    <row r="50" spans="1:8">
      <c r="A50" s="438" t="s">
        <v>418</v>
      </c>
      <c r="B50" s="440"/>
      <c r="C50" s="440"/>
      <c r="D50" s="441"/>
      <c r="E50" s="442"/>
      <c r="F50" s="442"/>
      <c r="G50" s="443"/>
      <c r="H50" s="5"/>
    </row>
    <row r="51" spans="1:8">
      <c r="A51" s="424" t="s">
        <v>414</v>
      </c>
      <c r="B51" s="585" t="s">
        <v>100</v>
      </c>
      <c r="C51" s="586"/>
      <c r="D51" s="472">
        <v>0</v>
      </c>
      <c r="E51" s="473">
        <f t="shared" ref="E51:E53" si="6">($F51)</f>
        <v>25</v>
      </c>
      <c r="F51" s="49">
        <f>ROUNDUP((15*ENR!$S$15),0)</f>
        <v>25</v>
      </c>
      <c r="G51" s="32">
        <f>ROUND($D51*$E51,-2)</f>
        <v>0</v>
      </c>
      <c r="H51" s="5"/>
    </row>
    <row r="52" spans="1:8">
      <c r="A52" s="424" t="s">
        <v>415</v>
      </c>
      <c r="B52" s="585" t="s">
        <v>100</v>
      </c>
      <c r="C52" s="586"/>
      <c r="D52" s="474">
        <v>0</v>
      </c>
      <c r="E52" s="475">
        <f t="shared" si="6"/>
        <v>53</v>
      </c>
      <c r="F52" s="49">
        <f>ROUNDUP((32*ENR!$S$15),0)</f>
        <v>53</v>
      </c>
      <c r="G52" s="32">
        <f>ROUND($D52*$E52,-2)</f>
        <v>0</v>
      </c>
      <c r="H52" s="5"/>
    </row>
    <row r="53" spans="1:8">
      <c r="A53" s="424" t="s">
        <v>416</v>
      </c>
      <c r="B53" s="585" t="s">
        <v>100</v>
      </c>
      <c r="C53" s="586"/>
      <c r="D53" s="476">
        <v>0</v>
      </c>
      <c r="E53" s="477">
        <f t="shared" si="6"/>
        <v>79</v>
      </c>
      <c r="F53" s="49">
        <f>ROUNDUP((48*ENR!$S$15),0)</f>
        <v>79</v>
      </c>
      <c r="G53" s="32">
        <f>ROUND($D53*$E53,-2)</f>
        <v>0</v>
      </c>
      <c r="H53" s="5"/>
    </row>
    <row r="54" spans="1:8">
      <c r="A54" s="438" t="s">
        <v>419</v>
      </c>
      <c r="B54" s="440"/>
      <c r="C54" s="440"/>
      <c r="D54" s="441"/>
      <c r="E54" s="442"/>
      <c r="F54" s="442"/>
      <c r="G54" s="443"/>
      <c r="H54" s="5"/>
    </row>
    <row r="55" spans="1:8">
      <c r="A55" s="424" t="s">
        <v>414</v>
      </c>
      <c r="B55" s="585" t="s">
        <v>100</v>
      </c>
      <c r="C55" s="586"/>
      <c r="D55" s="472">
        <v>0</v>
      </c>
      <c r="E55" s="473">
        <f t="shared" ref="E55:E57" si="7">($F55)</f>
        <v>20</v>
      </c>
      <c r="F55" s="49">
        <f>ROUNDUP((12*ENR!$S$15),0)</f>
        <v>20</v>
      </c>
      <c r="G55" s="32">
        <f>ROUND($D55*$E55,-2)</f>
        <v>0</v>
      </c>
      <c r="H55" s="5"/>
    </row>
    <row r="56" spans="1:8">
      <c r="A56" s="424" t="s">
        <v>415</v>
      </c>
      <c r="B56" s="585" t="s">
        <v>100</v>
      </c>
      <c r="C56" s="586"/>
      <c r="D56" s="474">
        <v>0</v>
      </c>
      <c r="E56" s="475">
        <f t="shared" si="7"/>
        <v>35</v>
      </c>
      <c r="F56" s="49">
        <f>ROUNDUP((21*ENR!$S$15),0)</f>
        <v>35</v>
      </c>
      <c r="G56" s="32">
        <f>ROUND($D56*$E56,-2)</f>
        <v>0</v>
      </c>
      <c r="H56" s="5"/>
    </row>
    <row r="57" spans="1:8">
      <c r="A57" s="424" t="s">
        <v>416</v>
      </c>
      <c r="B57" s="585" t="s">
        <v>100</v>
      </c>
      <c r="C57" s="586"/>
      <c r="D57" s="476">
        <v>0</v>
      </c>
      <c r="E57" s="477">
        <f t="shared" si="7"/>
        <v>45</v>
      </c>
      <c r="F57" s="49">
        <f>ROUNDUP((27*ENR!$S$15),0)</f>
        <v>45</v>
      </c>
      <c r="G57" s="32">
        <f>ROUND($D57*$E57,-2)</f>
        <v>0</v>
      </c>
      <c r="H57" s="5"/>
    </row>
    <row r="58" spans="1:8">
      <c r="A58" s="5"/>
      <c r="B58" s="5"/>
      <c r="C58" s="5"/>
      <c r="D58" s="5"/>
      <c r="E58" s="5"/>
      <c r="F58" s="1" t="s">
        <v>35</v>
      </c>
      <c r="G58" s="28">
        <f>ROUND(SUM(G$41:G$44,G$46:G$49,G$51:G$53,G$55:G$57),-3)</f>
        <v>0</v>
      </c>
      <c r="H58" s="5"/>
    </row>
    <row r="59" spans="1:8">
      <c r="A59" s="5" t="s">
        <v>179</v>
      </c>
      <c r="B59" s="5"/>
      <c r="C59" s="5"/>
      <c r="D59" s="5"/>
      <c r="E59" s="5"/>
      <c r="F59" s="1"/>
      <c r="G59" s="126" t="str">
        <f>IF(AND($G$37&gt;0,$G$58&gt;0),"ERROR?","")</f>
        <v/>
      </c>
      <c r="H59" s="73">
        <f>($G$58)</f>
        <v>0</v>
      </c>
    </row>
    <row r="60" spans="1:8" ht="6" customHeight="1" thickBot="1">
      <c r="A60" s="5"/>
      <c r="B60" s="5"/>
      <c r="C60" s="5"/>
      <c r="D60" s="5"/>
      <c r="E60" s="5"/>
      <c r="F60" s="1"/>
      <c r="G60" s="3"/>
      <c r="H60" s="5"/>
    </row>
    <row r="61" spans="1:8" ht="13" thickBot="1">
      <c r="A61" s="444" t="s">
        <v>137</v>
      </c>
      <c r="B61" s="445"/>
      <c r="C61" s="445"/>
      <c r="D61" s="445"/>
      <c r="E61" s="445"/>
      <c r="F61" s="445"/>
      <c r="G61" s="446"/>
      <c r="H61" s="226">
        <f>ROUND(($H$26+$H$37+$H$59),-3)</f>
        <v>0</v>
      </c>
    </row>
    <row r="62" spans="1:8">
      <c r="A62" s="5" t="str">
        <f>$A$3</f>
        <v xml:space="preserve">PROJECT TITLE:  </v>
      </c>
      <c r="B62" s="11" t="str">
        <f>IF($B$3="","",$B$3)</f>
        <v>X</v>
      </c>
      <c r="C62" s="5"/>
      <c r="D62" s="5"/>
      <c r="E62" s="5"/>
      <c r="F62" s="5"/>
      <c r="G62" s="5"/>
      <c r="H62" s="5"/>
    </row>
    <row r="63" spans="1:8">
      <c r="A63" s="1" t="str">
        <f>(($A$61)&amp;" (from page 1)")</f>
        <v>NEW CONSTRUCTION &amp; REMODELING COST SUBTOTAL (from page 1)</v>
      </c>
      <c r="B63" s="5"/>
      <c r="C63" s="5"/>
      <c r="D63" s="11"/>
      <c r="E63" s="11"/>
      <c r="F63" s="11"/>
      <c r="G63" s="12"/>
      <c r="H63" s="32">
        <f>VALUE($H$61)</f>
        <v>0</v>
      </c>
    </row>
    <row r="64" spans="1:8">
      <c r="A64" s="2" t="s">
        <v>78</v>
      </c>
      <c r="B64" s="5"/>
      <c r="C64" s="5"/>
      <c r="D64" s="11"/>
      <c r="E64" s="11"/>
      <c r="F64" s="11"/>
      <c r="G64" s="2"/>
      <c r="H64" s="17"/>
    </row>
    <row r="65" spans="1:8" ht="6" customHeight="1">
      <c r="A65" s="5"/>
      <c r="B65" s="5"/>
      <c r="C65" s="5"/>
      <c r="D65" s="5"/>
      <c r="E65" s="5"/>
      <c r="F65" s="5"/>
      <c r="G65" s="5"/>
      <c r="H65" s="5"/>
    </row>
    <row r="66" spans="1:8">
      <c r="A66" s="13" t="s">
        <v>84</v>
      </c>
      <c r="B66" s="589" t="s">
        <v>85</v>
      </c>
      <c r="C66" s="589"/>
      <c r="D66" s="589"/>
      <c r="E66" s="38" t="s">
        <v>62</v>
      </c>
      <c r="F66" s="38" t="s">
        <v>65</v>
      </c>
      <c r="G66" s="38" t="s">
        <v>63</v>
      </c>
      <c r="H66" s="34" t="s">
        <v>64</v>
      </c>
    </row>
    <row r="67" spans="1:8">
      <c r="A67" s="44" t="s">
        <v>81</v>
      </c>
      <c r="B67" s="590" t="s">
        <v>139</v>
      </c>
      <c r="C67" s="590"/>
      <c r="D67" s="590"/>
      <c r="E67" s="469">
        <v>0</v>
      </c>
      <c r="F67" s="47" t="s">
        <v>33</v>
      </c>
      <c r="G67" s="81">
        <f>(15*ENR!$Y$15)</f>
        <v>20.575178184020615</v>
      </c>
      <c r="H67" s="74">
        <f>ROUND(($E$67*$G$67),-3)</f>
        <v>0</v>
      </c>
    </row>
    <row r="68" spans="1:8">
      <c r="A68" s="39"/>
      <c r="B68" s="40"/>
      <c r="C68" s="40"/>
      <c r="D68" s="40"/>
      <c r="E68" s="41"/>
      <c r="F68" s="42"/>
      <c r="G68" s="43"/>
      <c r="H68" s="28"/>
    </row>
    <row r="69" spans="1:8">
      <c r="A69" s="578" t="s">
        <v>153</v>
      </c>
      <c r="B69" s="579"/>
      <c r="C69" s="579"/>
      <c r="D69" s="579"/>
      <c r="E69" s="579"/>
      <c r="F69" s="579"/>
      <c r="G69" s="580"/>
      <c r="H69" s="48"/>
    </row>
    <row r="70" spans="1:8">
      <c r="A70" s="521"/>
      <c r="B70" s="534"/>
      <c r="C70" s="534"/>
      <c r="D70" s="534"/>
      <c r="E70" s="522"/>
      <c r="F70" s="523"/>
      <c r="G70" s="524"/>
      <c r="H70" s="48">
        <f>ROUND(($E70*$G70),-2)</f>
        <v>0</v>
      </c>
    </row>
    <row r="71" spans="1:8">
      <c r="A71" s="525"/>
      <c r="B71" s="534"/>
      <c r="C71" s="534"/>
      <c r="D71" s="534"/>
      <c r="E71" s="522"/>
      <c r="F71" s="523"/>
      <c r="G71" s="524"/>
      <c r="H71" s="48">
        <f t="shared" ref="H71:H103" si="8">ROUND(($E71*$G71),-2)</f>
        <v>0</v>
      </c>
    </row>
    <row r="72" spans="1:8">
      <c r="A72" s="526"/>
      <c r="B72" s="534"/>
      <c r="C72" s="534"/>
      <c r="D72" s="534"/>
      <c r="E72" s="522"/>
      <c r="F72" s="523"/>
      <c r="G72" s="524"/>
      <c r="H72" s="48">
        <f t="shared" si="8"/>
        <v>0</v>
      </c>
    </row>
    <row r="73" spans="1:8">
      <c r="A73" s="526"/>
      <c r="B73" s="534"/>
      <c r="C73" s="534"/>
      <c r="D73" s="534"/>
      <c r="E73" s="522"/>
      <c r="F73" s="523"/>
      <c r="G73" s="524"/>
      <c r="H73" s="48">
        <f t="shared" si="8"/>
        <v>0</v>
      </c>
    </row>
    <row r="74" spans="1:8">
      <c r="A74" s="535"/>
      <c r="B74" s="536"/>
      <c r="C74" s="537"/>
      <c r="D74" s="538"/>
      <c r="E74" s="539"/>
      <c r="F74" s="540"/>
      <c r="G74" s="541"/>
      <c r="H74" s="48">
        <f t="shared" si="8"/>
        <v>0</v>
      </c>
    </row>
    <row r="75" spans="1:8">
      <c r="A75" s="525"/>
      <c r="B75" s="542"/>
      <c r="C75" s="534"/>
      <c r="D75" s="543"/>
      <c r="E75" s="522"/>
      <c r="F75" s="523"/>
      <c r="G75" s="524"/>
      <c r="H75" s="48">
        <f t="shared" si="8"/>
        <v>0</v>
      </c>
    </row>
    <row r="76" spans="1:8">
      <c r="A76" s="526"/>
      <c r="B76" s="542"/>
      <c r="C76" s="534"/>
      <c r="D76" s="543"/>
      <c r="E76" s="522"/>
      <c r="F76" s="523"/>
      <c r="G76" s="524"/>
      <c r="H76" s="48">
        <f t="shared" si="8"/>
        <v>0</v>
      </c>
    </row>
    <row r="77" spans="1:8">
      <c r="A77" s="525"/>
      <c r="B77" s="542"/>
      <c r="C77" s="534"/>
      <c r="D77" s="543"/>
      <c r="E77" s="522"/>
      <c r="F77" s="523"/>
      <c r="G77" s="524"/>
      <c r="H77" s="48">
        <f t="shared" si="8"/>
        <v>0</v>
      </c>
    </row>
    <row r="78" spans="1:8">
      <c r="A78" s="525"/>
      <c r="B78" s="542"/>
      <c r="C78" s="534"/>
      <c r="D78" s="543"/>
      <c r="E78" s="522"/>
      <c r="F78" s="523"/>
      <c r="G78" s="524"/>
      <c r="H78" s="48">
        <f t="shared" si="8"/>
        <v>0</v>
      </c>
    </row>
    <row r="79" spans="1:8">
      <c r="A79" s="544"/>
      <c r="B79" s="536"/>
      <c r="C79" s="537"/>
      <c r="D79" s="538"/>
      <c r="E79" s="539"/>
      <c r="F79" s="540"/>
      <c r="G79" s="541"/>
      <c r="H79" s="48">
        <f t="shared" si="8"/>
        <v>0</v>
      </c>
    </row>
    <row r="80" spans="1:8">
      <c r="A80" s="526"/>
      <c r="B80" s="542"/>
      <c r="C80" s="534"/>
      <c r="D80" s="543"/>
      <c r="E80" s="522"/>
      <c r="F80" s="523"/>
      <c r="G80" s="524"/>
      <c r="H80" s="48">
        <f t="shared" si="8"/>
        <v>0</v>
      </c>
    </row>
    <row r="81" spans="1:8">
      <c r="A81" s="526"/>
      <c r="B81" s="542"/>
      <c r="C81" s="534"/>
      <c r="D81" s="543"/>
      <c r="E81" s="522"/>
      <c r="F81" s="523"/>
      <c r="G81" s="524"/>
      <c r="H81" s="48">
        <f t="shared" si="8"/>
        <v>0</v>
      </c>
    </row>
    <row r="82" spans="1:8">
      <c r="A82" s="526"/>
      <c r="B82" s="542"/>
      <c r="C82" s="534"/>
      <c r="D82" s="543"/>
      <c r="E82" s="522"/>
      <c r="F82" s="523"/>
      <c r="G82" s="524"/>
      <c r="H82" s="48">
        <f t="shared" si="8"/>
        <v>0</v>
      </c>
    </row>
    <row r="83" spans="1:8">
      <c r="A83" s="526"/>
      <c r="B83" s="542"/>
      <c r="C83" s="534"/>
      <c r="D83" s="543"/>
      <c r="E83" s="522"/>
      <c r="F83" s="523"/>
      <c r="G83" s="524"/>
      <c r="H83" s="48">
        <f t="shared" si="8"/>
        <v>0</v>
      </c>
    </row>
    <row r="84" spans="1:8">
      <c r="A84" s="544"/>
      <c r="B84" s="536"/>
      <c r="C84" s="537"/>
      <c r="D84" s="538"/>
      <c r="E84" s="539"/>
      <c r="F84" s="540"/>
      <c r="G84" s="541"/>
      <c r="H84" s="48">
        <f t="shared" si="8"/>
        <v>0</v>
      </c>
    </row>
    <row r="85" spans="1:8">
      <c r="A85" s="526"/>
      <c r="B85" s="542"/>
      <c r="C85" s="534"/>
      <c r="D85" s="543"/>
      <c r="E85" s="522"/>
      <c r="F85" s="523"/>
      <c r="G85" s="524"/>
      <c r="H85" s="48">
        <f t="shared" si="8"/>
        <v>0</v>
      </c>
    </row>
    <row r="86" spans="1:8">
      <c r="A86" s="526"/>
      <c r="B86" s="542"/>
      <c r="C86" s="534"/>
      <c r="D86" s="543"/>
      <c r="E86" s="522"/>
      <c r="F86" s="523"/>
      <c r="G86" s="524"/>
      <c r="H86" s="48">
        <f t="shared" si="8"/>
        <v>0</v>
      </c>
    </row>
    <row r="87" spans="1:8">
      <c r="A87" s="526"/>
      <c r="B87" s="542"/>
      <c r="C87" s="534"/>
      <c r="D87" s="543"/>
      <c r="E87" s="522"/>
      <c r="F87" s="523"/>
      <c r="G87" s="524"/>
      <c r="H87" s="48">
        <f t="shared" si="8"/>
        <v>0</v>
      </c>
    </row>
    <row r="88" spans="1:8">
      <c r="A88" s="526"/>
      <c r="B88" s="542"/>
      <c r="C88" s="534"/>
      <c r="D88" s="543"/>
      <c r="E88" s="522"/>
      <c r="F88" s="523"/>
      <c r="G88" s="524"/>
      <c r="H88" s="48">
        <f t="shared" si="8"/>
        <v>0</v>
      </c>
    </row>
    <row r="89" spans="1:8">
      <c r="A89" s="544"/>
      <c r="B89" s="536"/>
      <c r="C89" s="537"/>
      <c r="D89" s="538"/>
      <c r="E89" s="539"/>
      <c r="F89" s="540"/>
      <c r="G89" s="541"/>
      <c r="H89" s="48">
        <f t="shared" si="8"/>
        <v>0</v>
      </c>
    </row>
    <row r="90" spans="1:8">
      <c r="A90" s="526"/>
      <c r="B90" s="542"/>
      <c r="C90" s="534"/>
      <c r="D90" s="543"/>
      <c r="E90" s="522"/>
      <c r="F90" s="523"/>
      <c r="G90" s="524"/>
      <c r="H90" s="48">
        <f t="shared" si="8"/>
        <v>0</v>
      </c>
    </row>
    <row r="91" spans="1:8">
      <c r="A91" s="526"/>
      <c r="B91" s="542"/>
      <c r="C91" s="534"/>
      <c r="D91" s="543"/>
      <c r="E91" s="522"/>
      <c r="F91" s="523"/>
      <c r="G91" s="524"/>
      <c r="H91" s="48">
        <f t="shared" si="8"/>
        <v>0</v>
      </c>
    </row>
    <row r="92" spans="1:8">
      <c r="A92" s="526"/>
      <c r="B92" s="542"/>
      <c r="C92" s="534"/>
      <c r="D92" s="543"/>
      <c r="E92" s="522"/>
      <c r="F92" s="523"/>
      <c r="G92" s="524"/>
      <c r="H92" s="48">
        <f t="shared" si="8"/>
        <v>0</v>
      </c>
    </row>
    <row r="93" spans="1:8">
      <c r="A93" s="526"/>
      <c r="B93" s="542"/>
      <c r="C93" s="534"/>
      <c r="D93" s="543"/>
      <c r="E93" s="522"/>
      <c r="F93" s="523"/>
      <c r="G93" s="524"/>
      <c r="H93" s="48">
        <f t="shared" si="8"/>
        <v>0</v>
      </c>
    </row>
    <row r="94" spans="1:8">
      <c r="A94" s="544"/>
      <c r="B94" s="536"/>
      <c r="C94" s="537"/>
      <c r="D94" s="538"/>
      <c r="E94" s="539"/>
      <c r="F94" s="540"/>
      <c r="G94" s="541"/>
      <c r="H94" s="48">
        <f t="shared" si="8"/>
        <v>0</v>
      </c>
    </row>
    <row r="95" spans="1:8">
      <c r="A95" s="526"/>
      <c r="B95" s="542"/>
      <c r="C95" s="534"/>
      <c r="D95" s="543"/>
      <c r="E95" s="522"/>
      <c r="F95" s="523"/>
      <c r="G95" s="524"/>
      <c r="H95" s="48">
        <f t="shared" si="8"/>
        <v>0</v>
      </c>
    </row>
    <row r="96" spans="1:8">
      <c r="A96" s="526"/>
      <c r="B96" s="542"/>
      <c r="C96" s="534"/>
      <c r="D96" s="543"/>
      <c r="E96" s="522"/>
      <c r="F96" s="523"/>
      <c r="G96" s="524"/>
      <c r="H96" s="48">
        <f t="shared" si="8"/>
        <v>0</v>
      </c>
    </row>
    <row r="97" spans="1:8">
      <c r="A97" s="526"/>
      <c r="B97" s="542"/>
      <c r="C97" s="534"/>
      <c r="D97" s="543"/>
      <c r="E97" s="522"/>
      <c r="F97" s="523"/>
      <c r="G97" s="524"/>
      <c r="H97" s="48">
        <f t="shared" si="8"/>
        <v>0</v>
      </c>
    </row>
    <row r="98" spans="1:8">
      <c r="A98" s="526"/>
      <c r="B98" s="542"/>
      <c r="C98" s="534"/>
      <c r="D98" s="543"/>
      <c r="E98" s="522"/>
      <c r="F98" s="523"/>
      <c r="G98" s="524"/>
      <c r="H98" s="48">
        <f t="shared" si="8"/>
        <v>0</v>
      </c>
    </row>
    <row r="99" spans="1:8">
      <c r="A99" s="544"/>
      <c r="B99" s="536"/>
      <c r="C99" s="537"/>
      <c r="D99" s="538"/>
      <c r="E99" s="539"/>
      <c r="F99" s="540"/>
      <c r="G99" s="541"/>
      <c r="H99" s="48">
        <f t="shared" si="8"/>
        <v>0</v>
      </c>
    </row>
    <row r="100" spans="1:8">
      <c r="A100" s="525"/>
      <c r="B100" s="542"/>
      <c r="C100" s="534"/>
      <c r="D100" s="543"/>
      <c r="E100" s="522"/>
      <c r="F100" s="523"/>
      <c r="G100" s="524"/>
      <c r="H100" s="48">
        <f t="shared" si="8"/>
        <v>0</v>
      </c>
    </row>
    <row r="101" spans="1:8">
      <c r="A101" s="525"/>
      <c r="B101" s="542"/>
      <c r="C101" s="534"/>
      <c r="D101" s="543"/>
      <c r="E101" s="522"/>
      <c r="F101" s="523"/>
      <c r="G101" s="524"/>
      <c r="H101" s="48">
        <f t="shared" si="8"/>
        <v>0</v>
      </c>
    </row>
    <row r="102" spans="1:8">
      <c r="A102" s="526"/>
      <c r="B102" s="542"/>
      <c r="C102" s="534"/>
      <c r="D102" s="543"/>
      <c r="E102" s="522"/>
      <c r="F102" s="523"/>
      <c r="G102" s="524"/>
      <c r="H102" s="48">
        <f t="shared" si="8"/>
        <v>0</v>
      </c>
    </row>
    <row r="103" spans="1:8">
      <c r="A103" s="527"/>
      <c r="B103" s="545"/>
      <c r="C103" s="546"/>
      <c r="D103" s="547"/>
      <c r="E103" s="528"/>
      <c r="F103" s="529"/>
      <c r="G103" s="530"/>
      <c r="H103" s="48">
        <f t="shared" si="8"/>
        <v>0</v>
      </c>
    </row>
    <row r="104" spans="1:8">
      <c r="A104" s="584" t="s">
        <v>78</v>
      </c>
      <c r="B104" s="584"/>
      <c r="C104" s="584"/>
      <c r="D104" s="584"/>
      <c r="E104" s="584"/>
      <c r="F104" s="584"/>
      <c r="G104" s="584"/>
      <c r="H104" s="73">
        <f>ROUND(SUM(H$70:H$103),-3)</f>
        <v>0</v>
      </c>
    </row>
    <row r="105" spans="1:8">
      <c r="A105" s="82"/>
      <c r="B105" s="577"/>
      <c r="C105" s="577"/>
      <c r="D105" s="577"/>
      <c r="E105" s="83"/>
      <c r="F105" s="84"/>
      <c r="G105" s="85"/>
      <c r="H105" s="48"/>
    </row>
    <row r="106" spans="1:8">
      <c r="A106" s="578" t="s">
        <v>127</v>
      </c>
      <c r="B106" s="579"/>
      <c r="C106" s="579"/>
      <c r="D106" s="579"/>
      <c r="E106" s="579"/>
      <c r="F106" s="579"/>
      <c r="G106" s="580"/>
      <c r="H106" s="48"/>
    </row>
    <row r="107" spans="1:8">
      <c r="A107" s="521"/>
      <c r="B107" s="571"/>
      <c r="C107" s="571"/>
      <c r="D107" s="571"/>
      <c r="E107" s="531"/>
      <c r="F107" s="532"/>
      <c r="G107" s="533"/>
      <c r="H107" s="48">
        <f t="shared" ref="H107:H112" si="9">ROUND(($E107*$G107),-2)</f>
        <v>0</v>
      </c>
    </row>
    <row r="108" spans="1:8">
      <c r="A108" s="521"/>
      <c r="B108" s="575"/>
      <c r="C108" s="571"/>
      <c r="D108" s="576"/>
      <c r="E108" s="531"/>
      <c r="F108" s="532"/>
      <c r="G108" s="533"/>
      <c r="H108" s="48">
        <f t="shared" si="9"/>
        <v>0</v>
      </c>
    </row>
    <row r="109" spans="1:8">
      <c r="A109" s="548"/>
      <c r="B109" s="581"/>
      <c r="C109" s="582"/>
      <c r="D109" s="583"/>
      <c r="E109" s="549"/>
      <c r="F109" s="550"/>
      <c r="G109" s="551"/>
      <c r="H109" s="48">
        <f t="shared" si="9"/>
        <v>0</v>
      </c>
    </row>
    <row r="110" spans="1:8">
      <c r="A110" s="521"/>
      <c r="B110" s="575"/>
      <c r="C110" s="571"/>
      <c r="D110" s="576"/>
      <c r="E110" s="531"/>
      <c r="F110" s="532"/>
      <c r="G110" s="533"/>
      <c r="H110" s="48">
        <f t="shared" si="9"/>
        <v>0</v>
      </c>
    </row>
    <row r="111" spans="1:8">
      <c r="A111" s="521"/>
      <c r="B111" s="571"/>
      <c r="C111" s="571"/>
      <c r="D111" s="571"/>
      <c r="E111" s="531"/>
      <c r="F111" s="532"/>
      <c r="G111" s="533"/>
      <c r="H111" s="48">
        <f t="shared" si="9"/>
        <v>0</v>
      </c>
    </row>
    <row r="112" spans="1:8">
      <c r="A112" s="552"/>
      <c r="B112" s="572"/>
      <c r="C112" s="572"/>
      <c r="D112" s="572"/>
      <c r="E112" s="553"/>
      <c r="F112" s="554"/>
      <c r="G112" s="555"/>
      <c r="H112" s="48">
        <f t="shared" si="9"/>
        <v>0</v>
      </c>
    </row>
    <row r="113" spans="1:8">
      <c r="A113" s="573" t="s">
        <v>132</v>
      </c>
      <c r="B113" s="573"/>
      <c r="C113" s="573"/>
      <c r="D113" s="573"/>
      <c r="E113" s="573"/>
      <c r="F113" s="573"/>
      <c r="G113" s="574"/>
      <c r="H113" s="73">
        <f>ROUND(SUM(H$107:H$112),-3)</f>
        <v>0</v>
      </c>
    </row>
    <row r="114" spans="1:8">
      <c r="A114" s="2"/>
      <c r="B114" s="5"/>
      <c r="C114" s="5"/>
      <c r="D114" s="5"/>
      <c r="E114" s="35"/>
      <c r="F114" s="5"/>
      <c r="G114" s="12"/>
      <c r="H114" s="32"/>
    </row>
    <row r="115" spans="1:8">
      <c r="A115" s="2" t="s">
        <v>135</v>
      </c>
      <c r="B115" s="5"/>
      <c r="C115" s="5"/>
      <c r="D115" s="5"/>
      <c r="E115" s="35"/>
      <c r="F115" s="5"/>
      <c r="G115" s="12"/>
      <c r="H115" s="73">
        <f>SUM($H$67,$H$104,$H$113)</f>
        <v>0</v>
      </c>
    </row>
    <row r="116" spans="1:8" ht="13" thickBot="1">
      <c r="A116" s="5"/>
      <c r="B116" s="5"/>
      <c r="C116" s="5"/>
      <c r="D116" s="5"/>
      <c r="E116" s="5"/>
      <c r="F116" s="5"/>
      <c r="G116" s="5"/>
      <c r="H116" s="3"/>
    </row>
    <row r="117" spans="1:8" ht="13" thickBot="1">
      <c r="A117" s="444" t="s">
        <v>136</v>
      </c>
      <c r="B117" s="445"/>
      <c r="C117" s="445"/>
      <c r="D117" s="445"/>
      <c r="E117" s="445"/>
      <c r="F117" s="444"/>
      <c r="G117" s="446"/>
      <c r="H117" s="226">
        <f>ROUND(SUM($H$63,$H$115),-3)</f>
        <v>0</v>
      </c>
    </row>
    <row r="118" spans="1:8">
      <c r="A118" s="2"/>
      <c r="B118" s="11"/>
      <c r="C118" s="11"/>
      <c r="D118" s="11"/>
      <c r="E118" s="11"/>
      <c r="F118" s="2"/>
      <c r="G118" s="7"/>
      <c r="H118" s="31"/>
    </row>
    <row r="119" spans="1:8">
      <c r="A119" s="1" t="s">
        <v>82</v>
      </c>
      <c r="B119" s="5" t="s">
        <v>83</v>
      </c>
      <c r="C119" s="5"/>
      <c r="D119" s="5"/>
      <c r="E119" s="469">
        <v>0</v>
      </c>
      <c r="F119" s="470" t="s">
        <v>144</v>
      </c>
      <c r="G119" s="471">
        <v>0</v>
      </c>
      <c r="H119" s="73">
        <f>ROUND(($E$119*$G$119),-3)</f>
        <v>0</v>
      </c>
    </row>
    <row r="120" spans="1:8">
      <c r="A120" s="2"/>
      <c r="B120" s="11"/>
      <c r="C120" s="11"/>
      <c r="D120" s="11"/>
      <c r="E120" s="11"/>
      <c r="F120" s="2"/>
      <c r="G120" s="7"/>
      <c r="H120" s="31"/>
    </row>
    <row r="121" spans="1:8">
      <c r="A121" s="5" t="str">
        <f>$A$3</f>
        <v xml:space="preserve">PROJECT TITLE:  </v>
      </c>
      <c r="B121" s="11" t="str">
        <f>IF($B$3="","",$B$3)</f>
        <v>X</v>
      </c>
      <c r="C121" s="5"/>
      <c r="D121" s="5"/>
      <c r="E121" s="5"/>
      <c r="F121" s="5"/>
      <c r="G121" s="5"/>
      <c r="H121" s="5"/>
    </row>
    <row r="122" spans="1:8">
      <c r="A122" s="1" t="str">
        <f>(($A$117)&amp;" (from page 2)")</f>
        <v>CONSTRUCTION &amp; REMODELING COST SUBTOTAL (from page 2)</v>
      </c>
      <c r="B122" s="5"/>
      <c r="C122" s="5"/>
      <c r="D122" s="11"/>
      <c r="E122" s="11"/>
      <c r="F122" s="11"/>
      <c r="G122" s="12"/>
      <c r="H122" s="73">
        <f>($H$117)</f>
        <v>0</v>
      </c>
    </row>
    <row r="123" spans="1:8" ht="13" thickBot="1">
      <c r="A123" s="1"/>
      <c r="B123" s="5"/>
      <c r="C123" s="5"/>
      <c r="D123" s="11"/>
      <c r="E123" s="11"/>
      <c r="F123" s="11"/>
      <c r="G123" s="7"/>
      <c r="H123" s="3"/>
    </row>
    <row r="124" spans="1:8" ht="13" thickBot="1">
      <c r="A124" s="447" t="s">
        <v>77</v>
      </c>
      <c r="B124" s="448"/>
      <c r="C124" s="448"/>
      <c r="D124" s="445"/>
      <c r="E124" s="445"/>
      <c r="F124" s="445"/>
      <c r="G124" s="446"/>
      <c r="H124" s="226">
        <f>ROUND(($E$135),-3)</f>
        <v>0</v>
      </c>
    </row>
    <row r="125" spans="1:8">
      <c r="A125" s="70" t="s">
        <v>390</v>
      </c>
      <c r="B125" s="5"/>
      <c r="C125" s="19"/>
      <c r="D125" s="11"/>
      <c r="E125" s="32">
        <f>($H$61)</f>
        <v>0</v>
      </c>
      <c r="F125" s="11"/>
      <c r="G125" s="7"/>
      <c r="H125" s="3"/>
    </row>
    <row r="126" spans="1:8">
      <c r="A126" s="70" t="s">
        <v>391</v>
      </c>
      <c r="B126" s="5"/>
      <c r="C126" s="19"/>
      <c r="D126" s="11"/>
      <c r="E126" s="32">
        <f>($H$67)</f>
        <v>0</v>
      </c>
      <c r="F126" s="11"/>
      <c r="G126" s="7"/>
      <c r="H126" s="3"/>
    </row>
    <row r="127" spans="1:8">
      <c r="A127" s="70" t="s">
        <v>392</v>
      </c>
      <c r="B127" s="5"/>
      <c r="C127" s="19"/>
      <c r="D127" s="11"/>
      <c r="E127" s="32">
        <f>($H$104)</f>
        <v>0</v>
      </c>
      <c r="F127" s="11"/>
      <c r="G127" s="7"/>
      <c r="H127" s="3"/>
    </row>
    <row r="128" spans="1:8">
      <c r="A128" s="70" t="s">
        <v>393</v>
      </c>
      <c r="B128" s="5"/>
      <c r="C128" s="19"/>
      <c r="D128" s="11"/>
      <c r="E128" s="77">
        <f>($H$113)</f>
        <v>0</v>
      </c>
      <c r="F128" s="11"/>
      <c r="G128" s="7"/>
      <c r="H128" s="3"/>
    </row>
    <row r="129" spans="1:8">
      <c r="A129" s="70" t="s">
        <v>394</v>
      </c>
      <c r="B129" s="5"/>
      <c r="C129" s="19"/>
      <c r="D129" s="11"/>
      <c r="E129" s="32">
        <f>($H$117)</f>
        <v>0</v>
      </c>
      <c r="F129" s="11"/>
      <c r="G129" s="7"/>
      <c r="H129" s="3"/>
    </row>
    <row r="130" spans="1:8">
      <c r="A130" s="70" t="s">
        <v>107</v>
      </c>
      <c r="B130" s="5"/>
      <c r="C130" s="458">
        <v>0</v>
      </c>
      <c r="D130" s="32">
        <f>($H$122)</f>
        <v>0</v>
      </c>
      <c r="E130" s="32">
        <f>ROUND(($C$130*$D$130),-2)</f>
        <v>0</v>
      </c>
      <c r="F130" s="11"/>
      <c r="G130" s="7"/>
      <c r="H130" s="3"/>
    </row>
    <row r="131" spans="1:8">
      <c r="A131" s="70" t="s">
        <v>427</v>
      </c>
      <c r="B131" s="5"/>
      <c r="C131" s="468">
        <v>0</v>
      </c>
      <c r="D131" s="32">
        <f>($H$122)</f>
        <v>0</v>
      </c>
      <c r="E131" s="32">
        <f>ROUND(($C$131*$D$131),-2)</f>
        <v>0</v>
      </c>
      <c r="F131" s="11"/>
      <c r="G131" s="7"/>
      <c r="H131" s="3"/>
    </row>
    <row r="132" spans="1:8">
      <c r="A132" s="70" t="s">
        <v>116</v>
      </c>
      <c r="B132" s="5"/>
      <c r="C132" s="458">
        <v>0</v>
      </c>
      <c r="D132" s="32">
        <f>($H$122)</f>
        <v>0</v>
      </c>
      <c r="E132" s="32">
        <f>ROUND(($C$132*$D$132),-2)</f>
        <v>0</v>
      </c>
      <c r="F132" s="11"/>
      <c r="G132" s="7"/>
      <c r="H132" s="3"/>
    </row>
    <row r="133" spans="1:8">
      <c r="A133" s="70" t="s">
        <v>395</v>
      </c>
      <c r="B133" s="5"/>
      <c r="C133" s="19"/>
      <c r="D133" s="11"/>
      <c r="E133" s="77">
        <f>($H$119)</f>
        <v>0</v>
      </c>
      <c r="F133" s="11"/>
      <c r="G133" s="7"/>
      <c r="H133" s="3"/>
    </row>
    <row r="134" spans="1:8">
      <c r="A134" s="70" t="s">
        <v>396</v>
      </c>
      <c r="B134" s="5"/>
      <c r="C134" s="19"/>
      <c r="D134" s="11"/>
      <c r="E134" s="32">
        <f>SUM(E$129:E$133)</f>
        <v>0</v>
      </c>
      <c r="F134" s="11"/>
      <c r="G134" s="7"/>
      <c r="H134" s="3"/>
    </row>
    <row r="135" spans="1:8">
      <c r="A135" s="70" t="s">
        <v>397</v>
      </c>
      <c r="B135" s="5"/>
      <c r="C135" s="66">
        <f>(ENR)</f>
        <v>1.3760301583912831</v>
      </c>
      <c r="D135" s="32">
        <f>($E$134)</f>
        <v>0</v>
      </c>
      <c r="E135" s="32">
        <f>ROUND(($D$135*$C$135),-2)</f>
        <v>0</v>
      </c>
      <c r="F135" s="11"/>
      <c r="G135" s="7"/>
      <c r="H135" s="3"/>
    </row>
    <row r="136" spans="1:8" ht="13" thickBot="1">
      <c r="A136" s="1"/>
      <c r="B136" s="5"/>
      <c r="C136" s="5"/>
      <c r="D136" s="11"/>
      <c r="E136" s="11"/>
      <c r="F136" s="11"/>
      <c r="G136" s="7"/>
      <c r="H136" s="3"/>
    </row>
    <row r="137" spans="1:8" ht="13" thickBot="1">
      <c r="A137" s="447" t="s">
        <v>74</v>
      </c>
      <c r="B137" s="448"/>
      <c r="C137" s="448"/>
      <c r="D137" s="443"/>
      <c r="E137" s="443"/>
      <c r="F137" s="449"/>
      <c r="G137" s="450" t="str">
        <f>IF($H$137=0,"",($H$137/TOTCONST))</f>
        <v/>
      </c>
      <c r="H137" s="226">
        <f>ROUND(SUM($E$138:$E$140),-3)</f>
        <v>0</v>
      </c>
    </row>
    <row r="138" spans="1:8">
      <c r="A138" s="70" t="s">
        <v>398</v>
      </c>
      <c r="B138" s="5"/>
      <c r="C138" s="458">
        <v>0</v>
      </c>
      <c r="D138" s="32">
        <f>($H$124)</f>
        <v>0</v>
      </c>
      <c r="E138" s="32">
        <f>IF($E$139&gt;0,0,((ROUND(($C138*$D$138),-2))))</f>
        <v>0</v>
      </c>
      <c r="F138" s="1"/>
      <c r="G138" s="5"/>
      <c r="H138" s="3"/>
    </row>
    <row r="139" spans="1:8">
      <c r="A139" s="70" t="s">
        <v>399</v>
      </c>
      <c r="B139" s="5"/>
      <c r="C139" s="50" t="str">
        <f>IF($E$139=0,"",($E$139/TOTCONST))</f>
        <v/>
      </c>
      <c r="D139" s="3"/>
      <c r="E139" s="467">
        <v>0</v>
      </c>
      <c r="F139" s="1"/>
      <c r="G139" s="5"/>
      <c r="H139" s="3"/>
    </row>
    <row r="140" spans="1:8">
      <c r="A140" s="70" t="s">
        <v>400</v>
      </c>
      <c r="B140" s="5"/>
      <c r="C140" s="458">
        <v>0</v>
      </c>
      <c r="D140" s="32">
        <f>($E$138+$E$139)</f>
        <v>0</v>
      </c>
      <c r="E140" s="32">
        <f>ROUND($C140*D$140,-2)</f>
        <v>0</v>
      </c>
      <c r="F140" s="8"/>
      <c r="G140" s="5"/>
      <c r="H140" s="3"/>
    </row>
    <row r="141" spans="1:8" ht="13" thickBot="1">
      <c r="A141" s="1"/>
      <c r="B141" s="5"/>
      <c r="C141" s="19"/>
      <c r="D141" s="3"/>
      <c r="E141" s="9"/>
      <c r="F141" s="5"/>
      <c r="G141" s="5"/>
      <c r="H141" s="3"/>
    </row>
    <row r="142" spans="1:8" ht="13" thickBot="1">
      <c r="A142" s="447" t="s">
        <v>75</v>
      </c>
      <c r="B142" s="448"/>
      <c r="C142" s="451"/>
      <c r="D142" s="443"/>
      <c r="E142" s="452"/>
      <c r="F142" s="448"/>
      <c r="G142" s="450" t="str">
        <f>IF($H$142=0,"",($H$142/TOTCONST))</f>
        <v/>
      </c>
      <c r="H142" s="226">
        <f>ROUND(SUM($E$143:$E$152),-3)</f>
        <v>0</v>
      </c>
    </row>
    <row r="143" spans="1:8">
      <c r="A143" s="70" t="s">
        <v>401</v>
      </c>
      <c r="B143" s="5"/>
      <c r="C143" s="458">
        <v>0</v>
      </c>
      <c r="D143" s="32">
        <f>($H$124)</f>
        <v>0</v>
      </c>
      <c r="E143" s="32">
        <f>ROUND(($C143*$D$143),-2)</f>
        <v>0</v>
      </c>
      <c r="F143" s="1"/>
      <c r="G143" s="5"/>
      <c r="H143" s="3"/>
    </row>
    <row r="144" spans="1:8">
      <c r="A144" s="70" t="s">
        <v>423</v>
      </c>
      <c r="B144" s="5"/>
      <c r="C144" s="19"/>
      <c r="D144" s="3"/>
      <c r="E144" s="467">
        <v>0</v>
      </c>
      <c r="F144" s="5"/>
      <c r="G144" s="5"/>
      <c r="H144" s="3"/>
    </row>
    <row r="145" spans="1:8">
      <c r="A145" s="70" t="s">
        <v>402</v>
      </c>
      <c r="B145" s="5"/>
      <c r="C145" s="466">
        <v>0</v>
      </c>
      <c r="D145" s="32">
        <f>($H$124)</f>
        <v>0</v>
      </c>
      <c r="E145" s="32">
        <f>ROUND(($C$145*$D$145),-2)</f>
        <v>0</v>
      </c>
      <c r="F145" s="5"/>
      <c r="G145" s="5"/>
      <c r="H145" s="3"/>
    </row>
    <row r="146" spans="1:8">
      <c r="A146" s="70" t="s">
        <v>403</v>
      </c>
      <c r="B146" s="5"/>
      <c r="C146" s="69"/>
      <c r="D146" s="3"/>
      <c r="E146" s="463">
        <v>0</v>
      </c>
      <c r="F146" s="5"/>
      <c r="G146" s="5"/>
      <c r="H146" s="3"/>
    </row>
    <row r="147" spans="1:8">
      <c r="A147" s="70" t="s">
        <v>404</v>
      </c>
      <c r="B147" s="5"/>
      <c r="C147" s="19"/>
      <c r="D147" s="3"/>
      <c r="E147" s="464">
        <v>0</v>
      </c>
      <c r="F147" s="5"/>
      <c r="G147" s="5"/>
      <c r="H147" s="3"/>
    </row>
    <row r="148" spans="1:8">
      <c r="A148" s="70" t="s">
        <v>405</v>
      </c>
      <c r="B148" s="5"/>
      <c r="C148" s="19"/>
      <c r="D148" s="3"/>
      <c r="E148" s="464">
        <v>0</v>
      </c>
      <c r="F148" s="5"/>
      <c r="G148" s="5"/>
      <c r="H148" s="3"/>
    </row>
    <row r="149" spans="1:8">
      <c r="A149" s="570" t="s">
        <v>406</v>
      </c>
      <c r="B149" s="570"/>
      <c r="C149" s="570"/>
      <c r="D149" s="3"/>
      <c r="E149" s="464">
        <v>0</v>
      </c>
      <c r="F149" s="5"/>
      <c r="G149" s="5"/>
      <c r="H149" s="3"/>
    </row>
    <row r="150" spans="1:8">
      <c r="A150" s="570" t="s">
        <v>406</v>
      </c>
      <c r="B150" s="570"/>
      <c r="C150" s="570"/>
      <c r="D150" s="3"/>
      <c r="E150" s="464">
        <v>0</v>
      </c>
      <c r="F150" s="5"/>
      <c r="G150" s="5"/>
      <c r="H150" s="3"/>
    </row>
    <row r="151" spans="1:8">
      <c r="A151" s="570" t="s">
        <v>406</v>
      </c>
      <c r="B151" s="570"/>
      <c r="C151" s="570"/>
      <c r="D151" s="3"/>
      <c r="E151" s="465">
        <v>0</v>
      </c>
      <c r="F151" s="5"/>
      <c r="G151" s="5"/>
      <c r="H151" s="3"/>
    </row>
    <row r="152" spans="1:8">
      <c r="A152" s="70" t="s">
        <v>407</v>
      </c>
      <c r="B152" s="5"/>
      <c r="C152" s="466">
        <v>0</v>
      </c>
      <c r="D152" s="32">
        <f>($G$153)</f>
        <v>0</v>
      </c>
      <c r="E152" s="32">
        <f>ROUND(($C$152*$D$152),-2)</f>
        <v>0</v>
      </c>
      <c r="F152" s="5"/>
      <c r="G152" s="5"/>
      <c r="H152" s="3"/>
    </row>
    <row r="153" spans="1:8">
      <c r="A153" s="561" t="s">
        <v>128</v>
      </c>
      <c r="B153" s="558"/>
      <c r="C153" s="559"/>
      <c r="D153" s="560"/>
      <c r="E153" s="32"/>
      <c r="F153" s="75" t="s">
        <v>133</v>
      </c>
      <c r="G153" s="76">
        <f>ROUND(SUM($E$154:$E$158),-2)</f>
        <v>0</v>
      </c>
      <c r="H153" s="3"/>
    </row>
    <row r="154" spans="1:8">
      <c r="A154" s="70" t="s">
        <v>408</v>
      </c>
      <c r="B154" s="70"/>
      <c r="C154" s="70"/>
      <c r="D154" s="3"/>
      <c r="E154" s="463">
        <v>0</v>
      </c>
      <c r="F154" s="5"/>
      <c r="G154" s="5"/>
      <c r="H154" s="3"/>
    </row>
    <row r="155" spans="1:8">
      <c r="A155" s="70" t="s">
        <v>409</v>
      </c>
      <c r="B155" s="70"/>
      <c r="C155" s="70"/>
      <c r="D155" s="3"/>
      <c r="E155" s="464">
        <v>0</v>
      </c>
      <c r="F155" s="5"/>
      <c r="G155" s="5"/>
      <c r="H155" s="3"/>
    </row>
    <row r="156" spans="1:8">
      <c r="A156" s="570" t="s">
        <v>410</v>
      </c>
      <c r="B156" s="570"/>
      <c r="C156" s="570"/>
      <c r="D156" s="3"/>
      <c r="E156" s="464">
        <v>0</v>
      </c>
      <c r="F156" s="5"/>
      <c r="G156" s="5"/>
      <c r="H156" s="3"/>
    </row>
    <row r="157" spans="1:8">
      <c r="A157" s="570" t="s">
        <v>410</v>
      </c>
      <c r="B157" s="570"/>
      <c r="C157" s="570"/>
      <c r="D157" s="3"/>
      <c r="E157" s="464">
        <v>0</v>
      </c>
      <c r="F157" s="5"/>
      <c r="G157" s="5"/>
      <c r="H157" s="3"/>
    </row>
    <row r="158" spans="1:8">
      <c r="A158" s="570" t="s">
        <v>410</v>
      </c>
      <c r="B158" s="570"/>
      <c r="C158" s="570"/>
      <c r="D158" s="3"/>
      <c r="E158" s="465">
        <v>0</v>
      </c>
      <c r="F158" s="5"/>
      <c r="G158" s="5"/>
      <c r="H158" s="3"/>
    </row>
    <row r="159" spans="1:8" ht="13" thickBot="1">
      <c r="A159" s="18"/>
      <c r="B159" s="5"/>
      <c r="C159" s="19"/>
      <c r="D159" s="3"/>
      <c r="E159" s="5"/>
      <c r="F159" s="5"/>
      <c r="G159" s="5"/>
      <c r="H159" s="3"/>
    </row>
    <row r="160" spans="1:8" ht="13" thickBot="1">
      <c r="A160" s="447" t="s">
        <v>76</v>
      </c>
      <c r="B160" s="448"/>
      <c r="C160" s="459">
        <v>0</v>
      </c>
      <c r="D160" s="437">
        <f>($H$124)</f>
        <v>0</v>
      </c>
      <c r="E160" s="437">
        <f>ROUND($C160*$D160,-2)</f>
        <v>0</v>
      </c>
      <c r="F160" s="449"/>
      <c r="G160" s="448"/>
      <c r="H160" s="226">
        <f>ROUND(VALUE($E$160),-3)</f>
        <v>0</v>
      </c>
    </row>
    <row r="161" spans="1:8" ht="13" thickBot="1">
      <c r="A161" s="18"/>
      <c r="B161" s="5"/>
      <c r="C161" s="19"/>
      <c r="D161" s="3"/>
      <c r="E161" s="5"/>
      <c r="F161" s="5"/>
      <c r="G161" s="5"/>
      <c r="H161" s="3"/>
    </row>
    <row r="162" spans="1:8" ht="13" thickBot="1">
      <c r="A162" s="447" t="s">
        <v>103</v>
      </c>
      <c r="B162" s="448"/>
      <c r="C162" s="458">
        <v>0</v>
      </c>
      <c r="D162" s="437">
        <f>SUM($H$124+$H$160)</f>
        <v>0</v>
      </c>
      <c r="E162" s="437">
        <f>ROUND($C162*$D162,-2)</f>
        <v>0</v>
      </c>
      <c r="F162" s="449"/>
      <c r="G162" s="448"/>
      <c r="H162" s="226">
        <f>ROUND(VALUE($E$162),-3)</f>
        <v>0</v>
      </c>
    </row>
    <row r="163" spans="1:8" ht="13" thickBot="1">
      <c r="A163" s="5"/>
      <c r="B163" s="5"/>
      <c r="C163" s="21"/>
      <c r="D163" s="3"/>
      <c r="E163" s="3"/>
      <c r="F163" s="8"/>
      <c r="G163" s="5"/>
      <c r="H163" s="3"/>
    </row>
    <row r="164" spans="1:8" ht="13" thickBot="1">
      <c r="A164" s="447" t="s">
        <v>125</v>
      </c>
      <c r="B164" s="448"/>
      <c r="C164" s="453"/>
      <c r="D164" s="443"/>
      <c r="E164" s="443"/>
      <c r="F164" s="449"/>
      <c r="G164" s="454" t="str">
        <f>IF($H$164=0,"",($H$164/TOTCONST))</f>
        <v/>
      </c>
      <c r="H164" s="226">
        <f>ROUND(SUM($E$165:$E$172),-3)</f>
        <v>0</v>
      </c>
    </row>
    <row r="165" spans="1:8">
      <c r="A165" s="70" t="s">
        <v>411</v>
      </c>
      <c r="B165" s="5"/>
      <c r="C165" s="21"/>
      <c r="D165" s="3"/>
      <c r="E165" s="32">
        <f>ROUND(SUM($E$154:$E$158),-2)</f>
        <v>0</v>
      </c>
      <c r="F165" s="1"/>
      <c r="G165" s="5"/>
      <c r="H165" s="46"/>
    </row>
    <row r="166" spans="1:8">
      <c r="A166" s="423" t="s">
        <v>129</v>
      </c>
      <c r="B166" s="129"/>
      <c r="C166" s="131"/>
      <c r="D166" s="132"/>
      <c r="E166" s="3"/>
      <c r="F166" s="75" t="s">
        <v>134</v>
      </c>
      <c r="G166" s="76">
        <f>ROUND(SUM($E$167:$E$172),-2)</f>
        <v>0</v>
      </c>
      <c r="H166" s="46"/>
    </row>
    <row r="167" spans="1:8">
      <c r="A167" s="70" t="s">
        <v>426</v>
      </c>
      <c r="B167" s="5"/>
      <c r="C167" s="458">
        <v>0</v>
      </c>
      <c r="D167" s="32">
        <f>($H$124)</f>
        <v>0</v>
      </c>
      <c r="E167" s="32">
        <f>ROUND($C167*$D167,-2)</f>
        <v>0</v>
      </c>
      <c r="F167" s="22"/>
      <c r="G167" s="5"/>
      <c r="H167" s="3"/>
    </row>
    <row r="168" spans="1:8">
      <c r="A168" s="70" t="s">
        <v>408</v>
      </c>
      <c r="B168" s="5"/>
      <c r="C168" s="5"/>
      <c r="D168" s="3"/>
      <c r="E168" s="455">
        <v>0</v>
      </c>
      <c r="F168" s="22"/>
      <c r="G168" s="5"/>
      <c r="H168" s="3"/>
    </row>
    <row r="169" spans="1:8">
      <c r="A169" s="70" t="s">
        <v>409</v>
      </c>
      <c r="B169" s="5"/>
      <c r="C169" s="5"/>
      <c r="D169" s="3"/>
      <c r="E169" s="456">
        <v>0</v>
      </c>
      <c r="F169" s="22"/>
      <c r="G169" s="5"/>
      <c r="H169" s="3"/>
    </row>
    <row r="170" spans="1:8">
      <c r="A170" s="570" t="s">
        <v>412</v>
      </c>
      <c r="B170" s="570"/>
      <c r="C170" s="570"/>
      <c r="D170" s="3"/>
      <c r="E170" s="456">
        <v>0</v>
      </c>
      <c r="F170" s="22"/>
      <c r="G170" s="5"/>
      <c r="H170" s="3"/>
    </row>
    <row r="171" spans="1:8">
      <c r="A171" s="570" t="s">
        <v>412</v>
      </c>
      <c r="B171" s="570"/>
      <c r="C171" s="570"/>
      <c r="D171" s="3"/>
      <c r="E171" s="456">
        <v>0</v>
      </c>
      <c r="F171" s="22"/>
      <c r="G171" s="5"/>
      <c r="H171" s="3"/>
    </row>
    <row r="172" spans="1:8">
      <c r="A172" s="570" t="s">
        <v>412</v>
      </c>
      <c r="B172" s="570"/>
      <c r="C172" s="570"/>
      <c r="D172" s="3"/>
      <c r="E172" s="457">
        <v>0</v>
      </c>
      <c r="F172" s="22"/>
      <c r="G172" s="5"/>
      <c r="H172" s="3"/>
    </row>
    <row r="173" spans="1:8" ht="13" thickBot="1">
      <c r="A173" s="5"/>
      <c r="B173" s="5"/>
      <c r="C173" s="5"/>
      <c r="D173" s="5"/>
      <c r="E173" s="5"/>
      <c r="F173" s="5"/>
      <c r="G173" s="5"/>
      <c r="H173" s="3"/>
    </row>
    <row r="174" spans="1:8" ht="13" thickBot="1">
      <c r="A174" s="444" t="s">
        <v>45</v>
      </c>
      <c r="B174" s="445"/>
      <c r="C174" s="445"/>
      <c r="D174" s="445"/>
      <c r="E174" s="445"/>
      <c r="F174" s="444"/>
      <c r="G174" s="446"/>
      <c r="H174" s="226">
        <f>ROUND(SUM($H$124,$H$137,$H$142,$H$160,$H$162,$H$164),-3)</f>
        <v>0</v>
      </c>
    </row>
    <row r="175" spans="1:8" ht="5.75" customHeight="1">
      <c r="A175" s="11"/>
      <c r="B175" s="11"/>
      <c r="C175" s="11"/>
      <c r="D175" s="11"/>
      <c r="E175" s="11"/>
      <c r="F175" s="11"/>
      <c r="G175" s="11"/>
      <c r="H175" s="5"/>
    </row>
    <row r="176" spans="1:8">
      <c r="A176" s="8"/>
      <c r="B176" s="5"/>
      <c r="C176" s="32">
        <f>IF(ISERR(ROUND($H$122/($B$9+$B$13),0)),0,ROUND($H$122/($B$9+$B$13),0))</f>
        <v>0</v>
      </c>
      <c r="D176" s="23" t="s">
        <v>55</v>
      </c>
      <c r="E176" s="5"/>
      <c r="F176" s="5"/>
      <c r="G176" s="5"/>
      <c r="H176" s="5"/>
    </row>
    <row r="177" spans="1:8">
      <c r="A177" s="8"/>
      <c r="B177" s="5"/>
      <c r="C177" s="32">
        <f>IF(ISERR(ROUND($H$122/($B$10+$B$13),0)),0,ROUND($H$122/($B$10+$B$13),0))</f>
        <v>0</v>
      </c>
      <c r="D177" s="23" t="s">
        <v>56</v>
      </c>
      <c r="E177" s="5"/>
      <c r="F177" s="5"/>
      <c r="G177" s="5"/>
      <c r="H177" s="5"/>
    </row>
    <row r="178" spans="1:8">
      <c r="A178" s="8"/>
      <c r="B178" s="5"/>
      <c r="C178" s="32">
        <f>IF(ISERR(ROUND($H$174/($B$9+$B$13),0)),0,ROUND($H$174/($B$9+$B$13),0))</f>
        <v>0</v>
      </c>
      <c r="D178" s="23" t="s">
        <v>54</v>
      </c>
      <c r="E178" s="5"/>
      <c r="F178" s="5"/>
      <c r="G178" s="5"/>
      <c r="H178" s="5"/>
    </row>
    <row r="179" spans="1:8">
      <c r="A179" s="5"/>
      <c r="B179" s="5"/>
      <c r="C179" s="32">
        <f>IF(ISERR(ROUND($H$174/($B$10+$B$13),0)),0,ROUND($H$174/($B$10+$B$13),0))</f>
        <v>0</v>
      </c>
      <c r="D179" s="23" t="s">
        <v>53</v>
      </c>
      <c r="E179" s="5"/>
      <c r="F179" s="5"/>
      <c r="G179" s="5"/>
      <c r="H179" s="5"/>
    </row>
    <row r="180" spans="1:8" ht="5.75" customHeight="1">
      <c r="A180" s="5"/>
      <c r="B180" s="5"/>
      <c r="C180" s="32"/>
      <c r="D180" s="23"/>
      <c r="E180" s="5"/>
      <c r="F180" s="5"/>
      <c r="G180" s="5"/>
      <c r="H180" s="5"/>
    </row>
    <row r="181" spans="1:8">
      <c r="A181" s="444" t="s">
        <v>46</v>
      </c>
      <c r="B181" s="448"/>
      <c r="C181" s="448"/>
      <c r="D181" s="448"/>
      <c r="E181" s="448"/>
      <c r="F181" s="448"/>
      <c r="G181" s="448"/>
      <c r="H181" s="448"/>
    </row>
    <row r="182" spans="1:8">
      <c r="A182" s="460" t="s">
        <v>100</v>
      </c>
      <c r="B182" s="461"/>
      <c r="C182" s="461"/>
      <c r="D182" s="461"/>
      <c r="E182" s="461"/>
      <c r="F182" s="461"/>
      <c r="G182" s="461"/>
      <c r="H182" s="462"/>
    </row>
    <row r="183" spans="1:8">
      <c r="A183" s="460" t="s">
        <v>100</v>
      </c>
      <c r="B183" s="461"/>
      <c r="C183" s="461"/>
      <c r="D183" s="461"/>
      <c r="E183" s="461"/>
      <c r="F183" s="461"/>
      <c r="G183" s="461"/>
      <c r="H183" s="462"/>
    </row>
    <row r="184" spans="1:8">
      <c r="A184" s="460" t="s">
        <v>100</v>
      </c>
      <c r="B184" s="461"/>
      <c r="C184" s="461"/>
      <c r="D184" s="461"/>
      <c r="E184" s="461"/>
      <c r="F184" s="461"/>
      <c r="G184" s="461"/>
      <c r="H184" s="462"/>
    </row>
    <row r="185" spans="1:8">
      <c r="A185" s="460" t="s">
        <v>100</v>
      </c>
      <c r="B185" s="461"/>
      <c r="C185" s="461"/>
      <c r="D185" s="461"/>
      <c r="E185" s="461"/>
      <c r="F185" s="461"/>
      <c r="G185" s="461"/>
      <c r="H185" s="462"/>
    </row>
    <row r="186" spans="1:8">
      <c r="A186" s="460" t="s">
        <v>100</v>
      </c>
      <c r="B186" s="461"/>
      <c r="C186" s="461"/>
      <c r="D186" s="461"/>
      <c r="E186" s="461"/>
      <c r="F186" s="461"/>
      <c r="G186" s="461"/>
      <c r="H186" s="462"/>
    </row>
  </sheetData>
  <sheetProtection algorithmName="SHA-512" hashValue="h/SYbhE8fkdYdcuacY7D4MhmJJny/C/z6qyuquhSH9AFDenkpFxD2P3T4mZqSh1ztJoetIrntmc9Bpt+xLrVmQ==" saltValue="Gq3lhqTQWUI2uKaXFKlXBw==" spinCount="100000" sheet="1" selectLockedCells="1"/>
  <mergeCells count="38">
    <mergeCell ref="C4:E8"/>
    <mergeCell ref="B3:E3"/>
    <mergeCell ref="B66:D66"/>
    <mergeCell ref="B67:D67"/>
    <mergeCell ref="B41:C41"/>
    <mergeCell ref="B42:C42"/>
    <mergeCell ref="B43:C43"/>
    <mergeCell ref="B44:C44"/>
    <mergeCell ref="B46:C46"/>
    <mergeCell ref="B47:C47"/>
    <mergeCell ref="B48:C48"/>
    <mergeCell ref="B49:C49"/>
    <mergeCell ref="B51:C51"/>
    <mergeCell ref="B52:C52"/>
    <mergeCell ref="B53:C53"/>
    <mergeCell ref="A104:G104"/>
    <mergeCell ref="B55:C55"/>
    <mergeCell ref="B56:C56"/>
    <mergeCell ref="B57:C57"/>
    <mergeCell ref="A69:G69"/>
    <mergeCell ref="B107:D107"/>
    <mergeCell ref="B110:D110"/>
    <mergeCell ref="B105:D105"/>
    <mergeCell ref="A106:G106"/>
    <mergeCell ref="B108:D108"/>
    <mergeCell ref="B109:D109"/>
    <mergeCell ref="A158:C158"/>
    <mergeCell ref="A172:C172"/>
    <mergeCell ref="A171:C171"/>
    <mergeCell ref="A151:C151"/>
    <mergeCell ref="A170:C170"/>
    <mergeCell ref="A156:C156"/>
    <mergeCell ref="A157:C157"/>
    <mergeCell ref="A150:C150"/>
    <mergeCell ref="B111:D111"/>
    <mergeCell ref="B112:D112"/>
    <mergeCell ref="A113:G113"/>
    <mergeCell ref="A149:C149"/>
  </mergeCells>
  <phoneticPr fontId="5" type="noConversion"/>
  <conditionalFormatting sqref="H12">
    <cfRule type="cellIs" dxfId="217" priority="199" operator="lessThan">
      <formula>$H$11</formula>
    </cfRule>
    <cfRule type="cellIs" dxfId="216" priority="200" operator="greaterThan">
      <formula>$H$11</formula>
    </cfRule>
    <cfRule type="cellIs" dxfId="215" priority="201" operator="equal">
      <formula>$H$11</formula>
    </cfRule>
  </conditionalFormatting>
  <conditionalFormatting sqref="H59">
    <cfRule type="expression" dxfId="214" priority="120">
      <formula>($G$59="ERROR?")</formula>
    </cfRule>
  </conditionalFormatting>
  <conditionalFormatting sqref="A18:C18 E18 A21:C21 E21 A24:C24 E24 A30:C30 A33:C33 A36:C36 E30 E33 E36 A74:G74 A79:G79 A84:G84 A89:G89 A94:G94 A99:G99 A109:G109 A112:G112">
    <cfRule type="expression" dxfId="213" priority="97">
      <formula>$B$5="SP"</formula>
    </cfRule>
    <cfRule type="expression" dxfId="212" priority="98">
      <formula>$B$5="P&amp;D"</formula>
    </cfRule>
    <cfRule type="expression" dxfId="211" priority="100">
      <formula>$B$5="MP"</formula>
    </cfRule>
    <cfRule type="expression" dxfId="210" priority="101">
      <formula>$B$5="MFR"</formula>
    </cfRule>
    <cfRule type="expression" dxfId="209" priority="102">
      <formula>$B$5="IS"</formula>
    </cfRule>
    <cfRule type="expression" dxfId="208" priority="103">
      <formula>$B$5="AA"</formula>
    </cfRule>
  </conditionalFormatting>
  <conditionalFormatting sqref="A1:H1">
    <cfRule type="expression" dxfId="207" priority="91">
      <formula>$B$5="SP"</formula>
    </cfRule>
    <cfRule type="expression" dxfId="206" priority="92">
      <formula>$B$5="P&amp;D"</formula>
    </cfRule>
    <cfRule type="expression" dxfId="205" priority="93">
      <formula>$B$5="MP"</formula>
    </cfRule>
    <cfRule type="expression" dxfId="204" priority="94">
      <formula>$B$5="MFR"</formula>
    </cfRule>
    <cfRule type="expression" dxfId="203" priority="95">
      <formula>$B$5="IS"</formula>
    </cfRule>
    <cfRule type="expression" dxfId="202" priority="96">
      <formula>$B$5="AA"</formula>
    </cfRule>
  </conditionalFormatting>
  <conditionalFormatting sqref="D18 D21 D24 F18:G18 F21:G21 F24:G24 D30 D33 D36 F30:G30 F33:G33 F36:G36">
    <cfRule type="expression" dxfId="201" priority="85">
      <formula>$B$5="SP"</formula>
    </cfRule>
    <cfRule type="expression" dxfId="200" priority="86">
      <formula>$B$5="P&amp;D"</formula>
    </cfRule>
    <cfRule type="expression" dxfId="199" priority="87">
      <formula>$B$5="MP"</formula>
    </cfRule>
    <cfRule type="expression" dxfId="198" priority="88">
      <formula>$B$5="MFR"</formula>
    </cfRule>
    <cfRule type="expression" dxfId="197" priority="89">
      <formula>$B$5="IS"</formula>
    </cfRule>
    <cfRule type="expression" dxfId="196" priority="90">
      <formula>$B$5="AA"</formula>
    </cfRule>
  </conditionalFormatting>
  <conditionalFormatting sqref="A40:G40 A45:G45 A50:G50 A54:G54 A61:G61 A69:G69 A106:G106 A117:G117 A124:G124 A137:G137 A142:G142 A160:B160 A162:B162 A164:G164 A174:G174 A181:H181">
    <cfRule type="expression" dxfId="195" priority="79">
      <formula>$B$5="SP"</formula>
    </cfRule>
    <cfRule type="expression" dxfId="194" priority="80">
      <formula>$B$5="P&amp;D"</formula>
    </cfRule>
    <cfRule type="expression" dxfId="193" priority="81">
      <formula>$B$5="MP"</formula>
    </cfRule>
    <cfRule type="expression" dxfId="192" priority="82">
      <formula>$B$5="MFR"</formula>
    </cfRule>
    <cfRule type="expression" dxfId="191" priority="83">
      <formula>$B$5="IS"</formula>
    </cfRule>
    <cfRule type="expression" dxfId="190" priority="84">
      <formula>$B$5="AA"</formula>
    </cfRule>
  </conditionalFormatting>
  <conditionalFormatting sqref="D160:G160 D162:G162">
    <cfRule type="expression" dxfId="189" priority="73">
      <formula>$B$5="SP"</formula>
    </cfRule>
    <cfRule type="expression" dxfId="188" priority="74">
      <formula>$B$5="P&amp;D"</formula>
    </cfRule>
    <cfRule type="expression" dxfId="187" priority="75">
      <formula>$B$5="MP"</formula>
    </cfRule>
    <cfRule type="expression" dxfId="186" priority="76">
      <formula>$B$5="MFR"</formula>
    </cfRule>
    <cfRule type="expression" dxfId="185" priority="77">
      <formula>$B$5="IS"</formula>
    </cfRule>
    <cfRule type="expression" dxfId="184" priority="78">
      <formula>$B$5="AA"</formula>
    </cfRule>
  </conditionalFormatting>
  <conditionalFormatting sqref="B3:E3 H3:H5 H9:H10 B9:B10 B13:B14 A70:G73 A75:G78 A80:G83 A85:G88 A90:G93 A95:G98 A100:G103 E119:G119 E67 C130:C132 C138 E139 C140 C143 E144 C145 C152 C160 C162 C167 A182:H186 A22:C23 E22:E23 A19:C20 E19:E20 E168:E172 A170:D172 E154:E158 A156:D158 B41:E44 B46:E49 B51:E53 B55:E57 A31:C32 E31:E32 A34:C35 E34:E35 A110:G111 A107:G108 A149:D151 E146:E151 B4:C4 B5:B6">
    <cfRule type="expression" dxfId="183" priority="66">
      <formula>$B$5="AA"</formula>
    </cfRule>
  </conditionalFormatting>
  <conditionalFormatting sqref="B3:E3 H3:H5 H9:H10 B9:B10 B13:B14 A70:G73 A75:G78 A80:G83 A85:G88 A90:G93 A95:G98 A100:G103 E119:G119 E67 C130:C132 C138 E139 C140 C143 E144 C145 C152 C160 C162 C167 A182:H186 A22:C23 E22:E23 A19:C20 E19:E20 E168:E172 A170:D172 E154:E158 A156:D158 B41:E44 B46:E49 B51:E53 B55:E57 A31:C32 E31:E32 A34:C35 E34:E35 A110:G111 A107:G108 A149:D151 E146:E151 B4:C4 B5:B6">
    <cfRule type="expression" dxfId="182" priority="65">
      <formula>$B$5="IS"</formula>
    </cfRule>
  </conditionalFormatting>
  <conditionalFormatting sqref="B3:E3 H3:H5 H9:H10 B9:B10 B13:B14 A70:G73 A75:G78 A80:G83 A85:G88 A90:G93 A95:G98 A100:G103 E119:G119 E67 C130:C132 C138 E139 C140 C143 E144 C145 C152 C160 C162 C167 A182:H186 A22:C23 E22:E23 A19:C20 E19:E20 E168:E172 A170:D172 E154:E158 A156:D158 B41:E44 B46:E49 B51:E53 B55:E57 A31:C32 E31:E32 A34:C35 E34:E35 A110:G111 A107:G108 A149:D151 E146:E151 B4:C4 B5:B6">
    <cfRule type="expression" dxfId="181" priority="64">
      <formula>$B$5="MFR"</formula>
    </cfRule>
  </conditionalFormatting>
  <conditionalFormatting sqref="B3:E3 H3:H5 H9:H10 B9:B10 B13:B14 A70:G73 A75:G78 A80:G83 A85:G88 A90:G93 A95:G98 A100:G103 E119:G119 E67 C130:C132 C138 E139 C140 C143 E144 C145 C152 C160 C162 C167 A182:H186 A22:C23 E22:E23 A19:C20 E19:E20 E168:E172 A170:D172 E154:E158 A156:D158 B41:E44 B46:E49 B51:E53 B55:E57 A31:C32 E31:E32 A34:C35 E34:E35 A110:G111 A107:G108 A149:D151 E146:E151 B4:C4 B5:B6">
    <cfRule type="expression" dxfId="180" priority="63">
      <formula>$B$5="MP"</formula>
    </cfRule>
  </conditionalFormatting>
  <conditionalFormatting sqref="B3:E3 H3:H5 H9:H10 B9:B10 B13:B14 A70:G73 A75:G78 A80:G83 A85:G88 A90:G93 A95:G98 A100:G103 E119:G119 E67 C130:C132 C138 E139 C140 C143 E144 C145 C152 C160 C162 C167 A182:H186 A22:C23 E22:E23 A19:C20 E19:E20 E168:E172 A170:D172 E154:E158 A156:D158 B41:E44 B46:E49 B51:E53 B55:E57 A31:C32 E31:E32 A34:C35 E34:E35 A110:G111 A107:G108 A149:D151 E146:E151 B4:C4 B5:B6">
    <cfRule type="expression" dxfId="179" priority="62">
      <formula>$B$5="P&amp;D"</formula>
    </cfRule>
  </conditionalFormatting>
  <conditionalFormatting sqref="B3:E3 H3:H5 H9:H10 B9:B10 B13:B14 A70:G73 A75:G78 A80:G83 A85:G88 A90:G93 A95:G98 A100:G103 E119:G119 E67 C130:C132 C138 E139 C140 C143 E144 C145 C152 C160 C162 C167 A182:H186 A22:C23 E22:E23 A19:C20 E19:E20 E168:E172 A170:D172 E154:E158 A156:D158 B41:E44 B46:E49 B51:E53 B55:E57 A31:C32 E31:E32 A34:C35 E34:E35 A110:G111 A107:G108 A149:D151 E146:E151 B4:C4 B5:B6">
    <cfRule type="expression" dxfId="178" priority="61">
      <formula>$B$5="SP"</formula>
    </cfRule>
  </conditionalFormatting>
  <conditionalFormatting sqref="H61 H117 H124 H137 H142 H160 H162 H164 H174">
    <cfRule type="expression" dxfId="177" priority="55">
      <formula>$B$5="SP"</formula>
    </cfRule>
    <cfRule type="expression" dxfId="176" priority="56">
      <formula>$B$5="P&amp;D"</formula>
    </cfRule>
    <cfRule type="expression" dxfId="175" priority="57">
      <formula>$B$5="MP"</formula>
    </cfRule>
    <cfRule type="expression" dxfId="174" priority="58">
      <formula>$B$5="MFR"</formula>
    </cfRule>
    <cfRule type="expression" dxfId="173" priority="59">
      <formula>$B$5="IS"</formula>
    </cfRule>
    <cfRule type="expression" dxfId="172" priority="60">
      <formula>$B$5="AA"</formula>
    </cfRule>
  </conditionalFormatting>
  <conditionalFormatting sqref="E41:E44">
    <cfRule type="cellIs" dxfId="171" priority="47" operator="greaterThan">
      <formula>$F41</formula>
    </cfRule>
    <cfRule type="cellIs" dxfId="170" priority="48" operator="lessThan">
      <formula>$F41</formula>
    </cfRule>
  </conditionalFormatting>
  <conditionalFormatting sqref="E55:E57 E51:E53 E46:E49">
    <cfRule type="cellIs" dxfId="169" priority="45" operator="greaterThan">
      <formula>$F46</formula>
    </cfRule>
    <cfRule type="cellIs" dxfId="168" priority="46" operator="lessThan">
      <formula>$F46</formula>
    </cfRule>
  </conditionalFormatting>
  <conditionalFormatting sqref="H174">
    <cfRule type="expression" dxfId="167" priority="18">
      <formula>IF(AND($B5="MFR",$H6&gt;7400000),$H$174)</formula>
    </cfRule>
    <cfRule type="expression" dxfId="166" priority="19">
      <formula>IF(AND($B5="SP",$H6&gt;300000),$H$174)</formula>
    </cfRule>
    <cfRule type="expression" dxfId="165" priority="20">
      <formula>IF(AND($B5="IS",$H6&gt;7400000),$H$174)</formula>
    </cfRule>
    <cfRule type="expression" dxfId="164" priority="21">
      <formula>IF(AND($B5="AA",$H6&gt;=5000000),$H$174)</formula>
    </cfRule>
    <cfRule type="expression" dxfId="163" priority="22">
      <formula>IF(AND($B5="AA",$H6&gt;=3000000,$H6&lt;=5000000),$H$174)</formula>
    </cfRule>
  </conditionalFormatting>
  <conditionalFormatting sqref="H9">
    <cfRule type="expression" dxfId="162" priority="16">
      <formula>$H$9&gt;NOW()</formula>
    </cfRule>
  </conditionalFormatting>
  <conditionalFormatting sqref="H6">
    <cfRule type="expression" dxfId="161" priority="470">
      <formula>IF(AND($B5="SP",$H6&gt;600000),$H$174)</formula>
    </cfRule>
    <cfRule type="expression" dxfId="160" priority="471">
      <formula>IF(AND($B5="AA",$H6&gt;=6000000,$H6&lt;=5000000),$H$174)</formula>
    </cfRule>
    <cfRule type="expression" dxfId="159" priority="472">
      <formula>IF(AND($B5="AA",$H6&gt;=5000000),$H$174)</formula>
    </cfRule>
    <cfRule type="expression" dxfId="158" priority="473">
      <formula>IF(AND($B5="IS",$H6&gt;=6000000,$H6&lt;=7400000),$H$174)</formula>
    </cfRule>
    <cfRule type="expression" dxfId="157" priority="474">
      <formula>IF(AND($B5="IS",$H6&gt;7400000),$H$174)</formula>
    </cfRule>
    <cfRule type="expression" dxfId="156" priority="475">
      <formula>IF(AND($B5="MFR",$H6&gt;7400000),$H$174)</formula>
    </cfRule>
    <cfRule type="expression" dxfId="155" priority="476">
      <formula>IF(AND($B5="MFR",$H6&gt;=6000000,$H6&lt;=7400000),$H$174)</formula>
    </cfRule>
    <cfRule type="expression" dxfId="154" priority="477">
      <formula>IF(AND($B5="MFR",$H6&gt;7400000),$H$174)</formula>
    </cfRule>
    <cfRule type="expression" dxfId="153" priority="478">
      <formula>$B$5="SP"</formula>
    </cfRule>
    <cfRule type="expression" dxfId="152" priority="479">
      <formula>$B$5="P&amp;D"</formula>
    </cfRule>
    <cfRule type="expression" dxfId="151" priority="480">
      <formula>$B$5="MP"</formula>
    </cfRule>
    <cfRule type="expression" dxfId="150" priority="481">
      <formula>$B$5="MFR"</formula>
    </cfRule>
    <cfRule type="expression" dxfId="149" priority="482">
      <formula>$B$5="IS"</formula>
    </cfRule>
    <cfRule type="expression" dxfId="148" priority="483">
      <formula>$B$5="AA"</formula>
    </cfRule>
  </conditionalFormatting>
  <printOptions horizontalCentered="1"/>
  <pageMargins left="0.25" right="0.25" top="0.25" bottom="0.5" header="0.25" footer="0.25"/>
  <pageSetup orientation="portrait" horizontalDpi="4294967292" verticalDpi="4294967292" r:id="rId1"/>
  <headerFooter>
    <oddFooter>&amp;L&amp;"Arial Narrow,Regular"&amp;8&amp;K000000&amp;D&amp;C&amp;"Arial Narrow,Regular"&amp;8&amp;K000000PBW&amp;R&amp;"Arial Narrow,Regular"&amp;8&amp;K000000&amp;P of &amp;N</oddFooter>
  </headerFooter>
  <rowBreaks count="1" manualBreakCount="1">
    <brk id="61" max="16383" man="1"/>
  </rowBreaks>
  <ignoredErrors>
    <ignoredError sqref="B9:B10 E46 E51:E53 E55:E57 H12 B13 E41:E44 E47:E49 H3"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10" operator="between" id="{5E84246E-62B9-3046-B510-248F8D91E5CF}">
            <xm:f>LOOKUPS!$A$4</xm:f>
            <xm:f>LOOKUPS!$A$5</xm:f>
            <x14:dxf>
              <font>
                <color rgb="FF9C5700"/>
              </font>
              <fill>
                <patternFill>
                  <bgColor rgb="FFFFEB9C"/>
                </patternFill>
              </fill>
            </x14:dxf>
          </x14:cfRule>
          <x14:cfRule type="expression" priority="12" id="{EB9DB75E-23F0-4A4A-B001-2A01259E2354}">
            <xm:f>$H$9&lt;LOOKUPS!$A$5</xm:f>
            <x14:dxf>
              <font>
                <color rgb="FF9C0006"/>
              </font>
              <fill>
                <patternFill>
                  <bgColor rgb="FFFFC7CE"/>
                </patternFill>
              </fill>
            </x14:dxf>
          </x14:cfRule>
          <x14:cfRule type="expression" priority="17" id="{1FAAF4A3-018E-3C42-BC99-A50C7F2B4E42}">
            <xm:f>$H$9&gt;LOOKUPS!$A$2</xm:f>
            <x14:dxf>
              <font>
                <color rgb="FF9C0006"/>
              </font>
              <fill>
                <patternFill>
                  <bgColor rgb="FFFFC7CE"/>
                </patternFill>
              </fill>
            </x14:dxf>
          </x14:cfRule>
          <xm:sqref>H9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A4CA0A9-BB94-4047-8F96-0EC39F339995}">
          <x14:formula1>
            <xm:f>LOOKUPS!$C$2:$C$8</xm:f>
          </x14:formula1>
          <xm:sqref>B5</xm:sqref>
        </x14:dataValidation>
        <x14:dataValidation type="list" allowBlank="1" showInputMessage="1" showErrorMessage="1" xr:uid="{A1F0DC4D-920E-054C-9C2C-06BB70368CA4}">
          <x14:formula1>
            <xm:f>LOOKUPS!$J$2:$J$20</xm:f>
          </x14:formula1>
          <xm:sqref>B4</xm:sqref>
        </x14:dataValidation>
      </x14:dataValidations>
    </ex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A97E1-747C-5D4D-80D9-CAB0C72CED33}">
  <sheetPr codeName="Sheet5">
    <tabColor theme="1" tint="0.249977111117893"/>
  </sheetPr>
  <dimension ref="A1:M59"/>
  <sheetViews>
    <sheetView showGridLines="0" view="pageLayout" workbookViewId="0">
      <selection activeCell="B3" sqref="B3:E3"/>
    </sheetView>
  </sheetViews>
  <sheetFormatPr baseColWidth="10" defaultColWidth="9.19921875" defaultRowHeight="12"/>
  <cols>
    <col min="1" max="1" width="21" customWidth="1"/>
    <col min="2" max="2" width="12.3984375" customWidth="1"/>
    <col min="3" max="3" width="11.796875" customWidth="1"/>
    <col min="4" max="4" width="11.796875" bestFit="1" customWidth="1"/>
    <col min="5" max="5" width="23.59765625" customWidth="1"/>
    <col min="8" max="8" width="13.796875" customWidth="1"/>
  </cols>
  <sheetData>
    <row r="1" spans="1:13" ht="13">
      <c r="A1" s="133" t="s">
        <v>433</v>
      </c>
      <c r="B1" s="134"/>
      <c r="C1" s="134"/>
      <c r="D1" s="134"/>
      <c r="E1" s="134"/>
      <c r="F1" s="134"/>
      <c r="G1" s="134"/>
      <c r="H1" s="135" t="str">
        <f>"PROJECT BUDGET WORKSHEET SUMMARY (NO INFLATION)"&amp;" "&amp;VERSION</f>
        <v>PROJECT BUDGET WORKSHEET SUMMARY (NO INFLATION) Rev. 2024-03</v>
      </c>
    </row>
    <row r="2" spans="1:13">
      <c r="A2" s="5"/>
      <c r="B2" s="5"/>
      <c r="C2" s="5"/>
      <c r="D2" s="5"/>
      <c r="E2" s="5"/>
      <c r="F2" s="1" t="s">
        <v>20</v>
      </c>
      <c r="G2" s="5"/>
      <c r="H2" s="5"/>
      <c r="I2" s="5"/>
      <c r="J2" s="5"/>
      <c r="K2" s="5"/>
      <c r="L2" s="5"/>
      <c r="M2" s="5"/>
    </row>
    <row r="3" spans="1:13">
      <c r="A3" s="2" t="s">
        <v>21</v>
      </c>
      <c r="B3" s="567" t="str">
        <f>UPPER(PBW_NoInflation!$B$3)</f>
        <v>X</v>
      </c>
      <c r="C3" s="567"/>
      <c r="D3" s="567"/>
      <c r="E3" s="567"/>
      <c r="F3" s="1" t="s">
        <v>171</v>
      </c>
      <c r="G3" s="5"/>
      <c r="H3" s="25">
        <f ca="1">(PBW_NoInflation!$H$3)</f>
        <v>45350.908241550926</v>
      </c>
      <c r="I3" s="5"/>
      <c r="J3" s="5"/>
      <c r="K3" s="5"/>
      <c r="L3" s="5"/>
      <c r="M3" s="5"/>
    </row>
    <row r="4" spans="1:13">
      <c r="A4" s="2" t="s">
        <v>101</v>
      </c>
      <c r="B4" s="593" t="str">
        <f>UPPER(PBW_NoInflation!$B$4)</f>
        <v>X</v>
      </c>
      <c r="C4" s="593"/>
      <c r="D4" s="593"/>
      <c r="E4" s="593"/>
      <c r="F4" s="1" t="s">
        <v>172</v>
      </c>
      <c r="G4" s="5"/>
      <c r="H4" s="404" t="str">
        <f>UPPER(PBW_NoInflation!$H$4)</f>
        <v>XXX</v>
      </c>
      <c r="I4" s="5"/>
      <c r="J4" s="5"/>
      <c r="K4" s="5"/>
      <c r="L4" s="5"/>
      <c r="M4" s="5"/>
    </row>
    <row r="5" spans="1:13">
      <c r="A5" s="11" t="s">
        <v>266</v>
      </c>
      <c r="B5" s="3" t="str">
        <f>UPPER(PBW_NoInflation!$B$5)</f>
        <v/>
      </c>
      <c r="C5" s="569"/>
      <c r="D5" s="569"/>
      <c r="E5" s="569"/>
      <c r="F5" s="5" t="s">
        <v>52</v>
      </c>
      <c r="G5" s="5"/>
      <c r="H5" s="26" t="str">
        <f>UPPER(PBW_NoInflation!$H$5)</f>
        <v>XXX</v>
      </c>
      <c r="I5" s="5"/>
      <c r="J5" s="5"/>
      <c r="K5" s="5"/>
      <c r="L5" s="5"/>
      <c r="M5" s="5"/>
    </row>
    <row r="6" spans="1:13">
      <c r="A6" s="2" t="s">
        <v>102</v>
      </c>
      <c r="B6" s="5" t="str">
        <f>UPPER(PBW_NoInflation!$B$6)</f>
        <v>X</v>
      </c>
      <c r="C6" s="569"/>
      <c r="D6" s="569"/>
      <c r="E6" s="569"/>
      <c r="F6" s="2" t="s">
        <v>22</v>
      </c>
      <c r="G6" s="5"/>
      <c r="H6" s="67">
        <f>(PBW_NoInflation!$H$6)</f>
        <v>0</v>
      </c>
      <c r="I6" s="5"/>
      <c r="J6" s="5"/>
      <c r="K6" s="5"/>
      <c r="L6" s="5"/>
      <c r="M6" s="5"/>
    </row>
    <row r="7" spans="1:13">
      <c r="A7" s="5"/>
      <c r="B7" s="5"/>
      <c r="C7" s="569"/>
      <c r="D7" s="569"/>
      <c r="E7" s="569"/>
      <c r="F7" s="5"/>
      <c r="G7" s="5"/>
      <c r="H7" s="5"/>
      <c r="I7" s="5"/>
      <c r="J7" s="5"/>
      <c r="K7" s="5"/>
      <c r="L7" s="5"/>
      <c r="M7" s="5"/>
    </row>
    <row r="8" spans="1:13">
      <c r="A8" s="2" t="s">
        <v>23</v>
      </c>
      <c r="B8" s="5"/>
      <c r="C8" s="569"/>
      <c r="D8" s="569"/>
      <c r="E8" s="569"/>
      <c r="F8" s="5"/>
      <c r="G8" s="5"/>
      <c r="H8" s="5"/>
      <c r="I8" s="5"/>
      <c r="J8" s="5"/>
      <c r="K8" s="5"/>
      <c r="L8" s="5"/>
      <c r="M8" s="5"/>
    </row>
    <row r="9" spans="1:13">
      <c r="A9" s="1" t="s">
        <v>24</v>
      </c>
      <c r="B9" s="28">
        <f>(PBW_NoInflation!$B$9)</f>
        <v>0</v>
      </c>
      <c r="C9" s="5"/>
      <c r="D9" s="5"/>
      <c r="E9" s="5"/>
      <c r="F9" s="1" t="s">
        <v>61</v>
      </c>
      <c r="G9" s="5"/>
      <c r="H9" s="405">
        <f>(PBW_NoInflation!$H$9)</f>
        <v>45352</v>
      </c>
      <c r="I9" s="5"/>
      <c r="J9" s="5"/>
      <c r="K9" s="5"/>
      <c r="L9" s="5"/>
      <c r="M9" s="5"/>
    </row>
    <row r="10" spans="1:13">
      <c r="A10" s="1" t="s">
        <v>25</v>
      </c>
      <c r="B10" s="28">
        <f>(PBW_NoInflation!$B$10)</f>
        <v>0</v>
      </c>
      <c r="C10" s="4">
        <f>(PBW_NoInflation!$C$10)</f>
        <v>0</v>
      </c>
      <c r="D10" s="5" t="s">
        <v>57</v>
      </c>
      <c r="E10" s="5"/>
      <c r="F10" s="1" t="s">
        <v>248</v>
      </c>
      <c r="G10" s="5"/>
      <c r="H10" s="5">
        <f>(PBW_NoInflation!$G$9)</f>
        <v>8288.93</v>
      </c>
      <c r="I10" s="5"/>
      <c r="J10" s="5"/>
      <c r="K10" s="5"/>
      <c r="L10" s="5"/>
      <c r="M10" s="5"/>
    </row>
    <row r="11" spans="1:13">
      <c r="A11" s="5"/>
      <c r="B11" s="3"/>
      <c r="C11" s="5"/>
      <c r="D11" s="5"/>
      <c r="E11" s="5"/>
      <c r="F11" s="1" t="s">
        <v>245</v>
      </c>
      <c r="G11" s="5"/>
      <c r="H11" s="406">
        <f>(PBW_NoInflation!$H$10)</f>
        <v>47300</v>
      </c>
      <c r="I11" s="5"/>
      <c r="J11" s="5"/>
      <c r="K11" s="5"/>
      <c r="L11" s="5"/>
      <c r="M11" s="5"/>
    </row>
    <row r="12" spans="1:13">
      <c r="A12" s="5"/>
      <c r="B12" s="3"/>
      <c r="C12" s="5"/>
      <c r="D12" s="5"/>
      <c r="E12" s="5"/>
      <c r="F12" s="1" t="s">
        <v>247</v>
      </c>
      <c r="G12" s="5"/>
      <c r="H12" s="341">
        <f>(PBW_NoInflation!$G$10)</f>
        <v>11405.817660794259</v>
      </c>
      <c r="I12" s="5"/>
      <c r="J12" s="5"/>
      <c r="K12" s="5"/>
      <c r="L12" s="5"/>
      <c r="M12" s="5"/>
    </row>
    <row r="13" spans="1:13">
      <c r="A13" s="2" t="s">
        <v>26</v>
      </c>
      <c r="B13" s="3"/>
      <c r="C13" s="5"/>
      <c r="D13" s="5"/>
      <c r="E13" s="5"/>
      <c r="F13" s="1" t="s">
        <v>27</v>
      </c>
      <c r="G13" s="5"/>
      <c r="H13" s="56">
        <f>(ENR)</f>
        <v>1.3760301583912831</v>
      </c>
      <c r="I13" s="5"/>
      <c r="J13" s="5"/>
      <c r="K13" s="5"/>
      <c r="L13" s="5"/>
      <c r="M13" s="5"/>
    </row>
    <row r="14" spans="1:13">
      <c r="A14" s="1" t="s">
        <v>28</v>
      </c>
      <c r="B14" s="28">
        <f>PBW_NoInflation!B13</f>
        <v>0</v>
      </c>
      <c r="C14" s="5"/>
      <c r="D14" s="5"/>
      <c r="E14" s="5"/>
      <c r="F14" s="5"/>
      <c r="G14" s="5"/>
      <c r="H14" s="5"/>
      <c r="I14" s="5"/>
      <c r="J14" s="5"/>
      <c r="K14" s="5"/>
      <c r="L14" s="5"/>
      <c r="M14" s="5"/>
    </row>
    <row r="15" spans="1:13">
      <c r="A15" s="1" t="s">
        <v>29</v>
      </c>
      <c r="B15" s="28">
        <f>PBW_NoInflation!B14</f>
        <v>0</v>
      </c>
      <c r="C15" s="4">
        <f>PBW_NoInflation!C14</f>
        <v>0</v>
      </c>
      <c r="D15" s="5" t="s">
        <v>58</v>
      </c>
      <c r="E15" s="5"/>
      <c r="F15" s="1" t="s">
        <v>170</v>
      </c>
      <c r="G15" s="5"/>
      <c r="H15" s="405" t="str">
        <f>(PBW_NoInflation!$H$14)</f>
        <v/>
      </c>
      <c r="I15" s="5"/>
      <c r="J15" s="5"/>
      <c r="K15" s="5"/>
      <c r="L15" s="5"/>
      <c r="M15" s="5"/>
    </row>
    <row r="16" spans="1:13">
      <c r="A16" s="1"/>
      <c r="B16" s="3"/>
      <c r="C16" s="4"/>
      <c r="D16" s="5"/>
      <c r="E16" s="5"/>
      <c r="F16" s="1"/>
      <c r="G16" s="5"/>
      <c r="H16" s="68"/>
      <c r="I16" s="5"/>
      <c r="J16" s="5"/>
      <c r="K16" s="5"/>
      <c r="L16" s="5"/>
      <c r="M16" s="5"/>
    </row>
    <row r="17" spans="1:13">
      <c r="A17" s="1"/>
      <c r="B17" s="3"/>
      <c r="C17" s="32">
        <f>(PBW_NoInflation!$C$176)</f>
        <v>0</v>
      </c>
      <c r="D17" s="23" t="s">
        <v>55</v>
      </c>
      <c r="E17" s="5"/>
      <c r="F17" s="1"/>
      <c r="G17" s="5"/>
      <c r="H17" s="68"/>
      <c r="I17" s="5"/>
      <c r="J17" s="5"/>
      <c r="K17" s="5"/>
      <c r="L17" s="5"/>
      <c r="M17" s="5"/>
    </row>
    <row r="18" spans="1:13">
      <c r="A18" s="1"/>
      <c r="B18" s="3"/>
      <c r="C18" s="32">
        <f>(PBW_NoInflation!$C$177)</f>
        <v>0</v>
      </c>
      <c r="D18" s="23" t="s">
        <v>56</v>
      </c>
      <c r="E18" s="5"/>
      <c r="F18" s="1"/>
      <c r="G18" s="5"/>
      <c r="H18" s="68"/>
      <c r="I18" s="5"/>
      <c r="J18" s="5"/>
      <c r="K18" s="5"/>
      <c r="L18" s="5"/>
      <c r="M18" s="5"/>
    </row>
    <row r="19" spans="1:13">
      <c r="A19" s="1"/>
      <c r="B19" s="3"/>
      <c r="C19" s="6"/>
      <c r="D19" s="5"/>
      <c r="E19" s="5"/>
      <c r="F19" s="1"/>
      <c r="G19" s="5"/>
      <c r="H19" s="68"/>
      <c r="I19" s="5"/>
      <c r="J19" s="5"/>
      <c r="K19" s="5"/>
      <c r="L19" s="5"/>
      <c r="M19" s="5"/>
    </row>
    <row r="20" spans="1:13">
      <c r="A20" s="1"/>
      <c r="B20" s="3"/>
      <c r="C20" s="32">
        <f>(PBW_NoInflation!$C$179)</f>
        <v>0</v>
      </c>
      <c r="D20" s="23" t="s">
        <v>54</v>
      </c>
      <c r="E20" s="5"/>
      <c r="F20" s="1"/>
      <c r="G20" s="5"/>
      <c r="H20" s="68"/>
      <c r="I20" s="5"/>
      <c r="J20" s="5"/>
      <c r="K20" s="5"/>
      <c r="L20" s="5"/>
      <c r="M20" s="5"/>
    </row>
    <row r="21" spans="1:13">
      <c r="A21" s="5"/>
      <c r="B21" s="5"/>
      <c r="C21" s="32">
        <f>(PBW_NoInflation!$C$180)</f>
        <v>0</v>
      </c>
      <c r="D21" s="23" t="s">
        <v>53</v>
      </c>
      <c r="E21" s="5"/>
      <c r="F21" s="5"/>
      <c r="G21" s="5"/>
      <c r="H21" s="5"/>
      <c r="I21" s="5"/>
      <c r="J21" s="5"/>
      <c r="K21" s="5"/>
      <c r="L21" s="5"/>
      <c r="M21" s="5"/>
    </row>
    <row r="22" spans="1:13" ht="13" thickBot="1">
      <c r="A22" s="10"/>
      <c r="B22" s="10"/>
      <c r="C22" s="10"/>
      <c r="D22" s="10"/>
      <c r="E22" s="10"/>
      <c r="F22" s="10"/>
      <c r="G22" s="10"/>
      <c r="H22" s="10"/>
      <c r="I22" s="5"/>
      <c r="J22" s="5"/>
      <c r="K22" s="5"/>
      <c r="L22" s="5"/>
      <c r="M22" s="5"/>
    </row>
    <row r="23" spans="1:13" ht="13" thickBot="1">
      <c r="A23" s="5"/>
      <c r="B23" s="27"/>
      <c r="C23" s="27"/>
      <c r="D23" s="5"/>
      <c r="E23" s="5"/>
      <c r="F23" s="5"/>
      <c r="G23" s="5"/>
      <c r="H23" s="5"/>
      <c r="I23" s="5"/>
      <c r="J23" s="5"/>
      <c r="K23" s="5"/>
      <c r="L23" s="5"/>
      <c r="M23" s="5"/>
    </row>
    <row r="24" spans="1:13" ht="13" thickBot="1">
      <c r="A24" s="206" t="s">
        <v>93</v>
      </c>
      <c r="B24" s="284"/>
      <c r="C24" s="284"/>
      <c r="D24" s="129"/>
      <c r="E24" s="129"/>
      <c r="F24" s="129"/>
      <c r="G24" s="129"/>
      <c r="H24" s="277">
        <f>(PBW_NoInflation!TOTCONST)</f>
        <v>0</v>
      </c>
      <c r="I24" s="5"/>
      <c r="J24" s="5"/>
      <c r="K24" s="5"/>
      <c r="L24" s="5"/>
      <c r="M24" s="5"/>
    </row>
    <row r="25" spans="1:13">
      <c r="A25" s="424" t="s">
        <v>92</v>
      </c>
      <c r="B25" s="27"/>
      <c r="C25" s="27"/>
      <c r="D25" s="5"/>
      <c r="E25" s="5"/>
      <c r="F25" s="5"/>
      <c r="G25" s="5"/>
      <c r="H25" s="28">
        <f>(TOTCONST-PBW_NoInflation!$H$119)</f>
        <v>0</v>
      </c>
      <c r="I25" s="5"/>
      <c r="J25" s="5"/>
      <c r="K25" s="5"/>
      <c r="L25" s="5"/>
      <c r="M25" s="5"/>
    </row>
    <row r="26" spans="1:13">
      <c r="A26" s="424" t="s">
        <v>83</v>
      </c>
      <c r="B26" s="27"/>
      <c r="C26" s="27"/>
      <c r="D26" s="5"/>
      <c r="E26" s="5"/>
      <c r="F26" s="5"/>
      <c r="G26" s="5"/>
      <c r="H26" s="28">
        <f>(PBW_NoInflation!$H$119)</f>
        <v>0</v>
      </c>
      <c r="I26" s="5"/>
      <c r="J26" s="5"/>
      <c r="K26" s="5"/>
      <c r="L26" s="5"/>
      <c r="M26" s="5"/>
    </row>
    <row r="27" spans="1:13" ht="13" thickBot="1">
      <c r="A27" s="1"/>
      <c r="B27" s="29"/>
      <c r="C27" s="29"/>
      <c r="D27" s="5"/>
      <c r="E27" s="5"/>
      <c r="F27" s="5"/>
      <c r="G27" s="5"/>
      <c r="H27" s="28"/>
      <c r="I27" s="5"/>
      <c r="J27" s="5"/>
      <c r="K27" s="5"/>
      <c r="L27" s="5"/>
      <c r="M27" s="5"/>
    </row>
    <row r="28" spans="1:13" ht="13" thickBot="1">
      <c r="A28" s="206" t="s">
        <v>96</v>
      </c>
      <c r="B28" s="129"/>
      <c r="C28" s="129"/>
      <c r="D28" s="129"/>
      <c r="E28" s="129"/>
      <c r="F28" s="129"/>
      <c r="G28" s="180" t="str">
        <f>IF($H$24=0,"",($H$28/$H$24))</f>
        <v/>
      </c>
      <c r="H28" s="277">
        <f>SUM(PBW_NoInflation!$H$137,PBW_NoInflation!$H$142)</f>
        <v>0</v>
      </c>
      <c r="I28" s="5"/>
      <c r="J28" s="5"/>
      <c r="K28" s="5"/>
      <c r="L28" s="5"/>
      <c r="M28" s="5"/>
    </row>
    <row r="29" spans="1:13">
      <c r="A29" s="424" t="s">
        <v>94</v>
      </c>
      <c r="B29" s="57"/>
      <c r="C29" s="29"/>
      <c r="D29" s="78"/>
      <c r="E29" s="5"/>
      <c r="F29" s="5"/>
      <c r="G29" s="86" t="str">
        <f>IF($H$24=0,"",($H$29/$H$24))</f>
        <v/>
      </c>
      <c r="H29" s="28">
        <f>(PBW_NoInflation!$H$137)</f>
        <v>0</v>
      </c>
      <c r="I29" s="5"/>
      <c r="J29" s="5"/>
      <c r="K29" s="5"/>
      <c r="L29" s="5"/>
      <c r="M29" s="5"/>
    </row>
    <row r="30" spans="1:13">
      <c r="A30" s="424" t="s">
        <v>95</v>
      </c>
      <c r="B30" s="57"/>
      <c r="C30" s="27"/>
      <c r="D30" s="78"/>
      <c r="E30" s="30"/>
      <c r="F30" s="5"/>
      <c r="G30" s="87" t="str">
        <f>IF($H$24=0,"",($H$30/$H$24))</f>
        <v/>
      </c>
      <c r="H30" s="28">
        <f>(PBW_NoInflation!$H$142)</f>
        <v>0</v>
      </c>
      <c r="I30" s="5"/>
      <c r="J30" s="5"/>
      <c r="K30" s="5"/>
      <c r="L30" s="5"/>
      <c r="M30" s="5"/>
    </row>
    <row r="31" spans="1:13" ht="13" thickBot="1">
      <c r="A31" s="2"/>
      <c r="B31" s="5"/>
      <c r="C31" s="5"/>
      <c r="D31" s="5"/>
      <c r="E31" s="5"/>
      <c r="F31" s="5"/>
      <c r="G31" s="5"/>
      <c r="H31" s="31"/>
      <c r="I31" s="5"/>
      <c r="J31" s="5"/>
      <c r="K31" s="5"/>
      <c r="L31" s="5"/>
      <c r="M31" s="5"/>
    </row>
    <row r="32" spans="1:13" ht="13" thickBot="1">
      <c r="A32" s="206" t="s">
        <v>97</v>
      </c>
      <c r="B32" s="285"/>
      <c r="C32" s="129"/>
      <c r="D32" s="129"/>
      <c r="E32" s="129"/>
      <c r="F32" s="129"/>
      <c r="G32" s="180" t="str">
        <f>IF($H$24=0,"",($H$32/$H$24))</f>
        <v/>
      </c>
      <c r="H32" s="277">
        <f>(PBW_NoInflation!$H$160)</f>
        <v>0</v>
      </c>
      <c r="I32" s="5"/>
      <c r="J32" s="5"/>
      <c r="K32" s="5"/>
      <c r="L32" s="5"/>
      <c r="M32" s="5"/>
    </row>
    <row r="33" spans="1:13" ht="13" thickBot="1">
      <c r="A33" s="79"/>
      <c r="B33" s="80"/>
      <c r="C33" s="5"/>
      <c r="D33" s="5"/>
      <c r="E33" s="5"/>
      <c r="F33" s="5"/>
      <c r="G33" s="5"/>
      <c r="H33" s="31"/>
      <c r="I33" s="5"/>
      <c r="J33" s="5"/>
      <c r="K33" s="5"/>
      <c r="L33" s="5"/>
      <c r="M33" s="5"/>
    </row>
    <row r="34" spans="1:13" ht="13" thickBot="1">
      <c r="A34" s="206" t="s">
        <v>98</v>
      </c>
      <c r="B34" s="285"/>
      <c r="C34" s="129"/>
      <c r="D34" s="129"/>
      <c r="E34" s="129"/>
      <c r="F34" s="129"/>
      <c r="G34" s="180" t="str">
        <f>IF(SUM($H$24,$H$32)=0,"",($H$34/SUM($H$24+$H$32)))</f>
        <v/>
      </c>
      <c r="H34" s="277">
        <f>(PBW_NoInflation!$H$162)</f>
        <v>0</v>
      </c>
      <c r="I34" s="5"/>
      <c r="J34" s="5"/>
      <c r="K34" s="5"/>
      <c r="L34" s="5"/>
      <c r="M34" s="5"/>
    </row>
    <row r="35" spans="1:13" ht="13" thickBot="1">
      <c r="A35" s="2"/>
      <c r="B35" s="5"/>
      <c r="C35" s="5"/>
      <c r="D35" s="5"/>
      <c r="E35" s="5"/>
      <c r="F35" s="5"/>
      <c r="G35" s="5"/>
      <c r="H35" s="28"/>
      <c r="I35" s="5"/>
      <c r="J35" s="5"/>
      <c r="K35" s="5"/>
      <c r="L35" s="5"/>
      <c r="M35" s="5"/>
    </row>
    <row r="36" spans="1:13" ht="13" thickBot="1">
      <c r="A36" s="206" t="s">
        <v>141</v>
      </c>
      <c r="B36" s="129"/>
      <c r="C36" s="129"/>
      <c r="D36" s="129"/>
      <c r="E36" s="129"/>
      <c r="F36" s="129"/>
      <c r="G36" s="180" t="str">
        <f>IF($H$24=0,"",($H$36/$H$24))</f>
        <v/>
      </c>
      <c r="H36" s="277">
        <f>(PBW_NoInflation!$H$164)</f>
        <v>0</v>
      </c>
      <c r="I36" s="5"/>
      <c r="J36" s="5"/>
      <c r="K36" s="5"/>
      <c r="L36" s="5"/>
      <c r="M36" s="5"/>
    </row>
    <row r="37" spans="1:13">
      <c r="A37" s="424" t="s">
        <v>142</v>
      </c>
      <c r="B37" s="57"/>
      <c r="C37" s="5"/>
      <c r="D37" s="78"/>
      <c r="E37" s="5"/>
      <c r="F37" s="5"/>
      <c r="G37" s="58" t="str">
        <f>IF($H$24=0,"",($H$37/$H$24))</f>
        <v/>
      </c>
      <c r="H37" s="28">
        <f>(PBW_NoInflation!$G$153)</f>
        <v>0</v>
      </c>
      <c r="I37" s="5"/>
      <c r="J37" s="5"/>
      <c r="K37" s="5"/>
      <c r="L37" s="5"/>
      <c r="M37" s="5"/>
    </row>
    <row r="38" spans="1:13">
      <c r="A38" s="424" t="s">
        <v>143</v>
      </c>
      <c r="B38" s="58"/>
      <c r="C38" s="5"/>
      <c r="D38" s="78"/>
      <c r="E38" s="5"/>
      <c r="F38" s="5"/>
      <c r="G38" s="58" t="str">
        <f>IF($H$24=0,"",($H$38/$H$24))</f>
        <v/>
      </c>
      <c r="H38" s="28">
        <f>(PBW_NoInflation!$G$166)</f>
        <v>0</v>
      </c>
      <c r="I38" s="5"/>
      <c r="J38" s="5"/>
      <c r="K38" s="5"/>
      <c r="L38" s="5"/>
      <c r="M38" s="5"/>
    </row>
    <row r="39" spans="1:13" ht="13" thickBot="1">
      <c r="A39" s="2"/>
      <c r="B39" s="5"/>
      <c r="C39" s="5"/>
      <c r="D39" s="5"/>
      <c r="E39" s="5"/>
      <c r="F39" s="5"/>
      <c r="G39" s="5"/>
      <c r="H39" s="31"/>
      <c r="I39" s="5"/>
      <c r="J39" s="5"/>
      <c r="K39" s="5"/>
      <c r="L39" s="5"/>
      <c r="M39" s="5"/>
    </row>
    <row r="40" spans="1:13" ht="13" thickBot="1">
      <c r="A40" s="206" t="s">
        <v>99</v>
      </c>
      <c r="B40" s="129"/>
      <c r="C40" s="129"/>
      <c r="D40" s="129"/>
      <c r="E40" s="129"/>
      <c r="F40" s="206"/>
      <c r="G40" s="208"/>
      <c r="H40" s="277">
        <f>SUM(H$24,H$28,H$32,H$34,$H$36)</f>
        <v>0</v>
      </c>
      <c r="I40" s="5"/>
      <c r="J40" s="5"/>
      <c r="K40" s="5"/>
      <c r="L40" s="5"/>
      <c r="M40" s="5"/>
    </row>
    <row r="41" spans="1:13">
      <c r="A41" s="5"/>
      <c r="B41" s="5"/>
      <c r="C41" s="5"/>
      <c r="D41" s="5"/>
      <c r="E41" s="5"/>
      <c r="F41" s="5"/>
      <c r="G41" s="5"/>
      <c r="H41" s="5"/>
      <c r="I41" s="5"/>
      <c r="J41" s="5"/>
      <c r="K41" s="5"/>
      <c r="L41" s="5"/>
      <c r="M41" s="5"/>
    </row>
    <row r="42" spans="1:13" ht="13" thickBot="1">
      <c r="A42" s="10"/>
      <c r="B42" s="10"/>
      <c r="C42" s="10"/>
      <c r="D42" s="10"/>
      <c r="E42" s="10"/>
      <c r="F42" s="10"/>
      <c r="G42" s="10"/>
      <c r="H42" s="10"/>
      <c r="I42" s="5"/>
      <c r="J42" s="5"/>
      <c r="K42" s="5"/>
      <c r="L42" s="5"/>
      <c r="M42" s="5"/>
    </row>
    <row r="43" spans="1:13">
      <c r="A43" s="5"/>
      <c r="B43" s="5"/>
      <c r="C43" s="5"/>
      <c r="D43" s="5"/>
      <c r="E43" s="5"/>
      <c r="F43" s="5"/>
      <c r="G43" s="5"/>
      <c r="H43" s="5"/>
      <c r="I43" s="5"/>
      <c r="J43" s="5"/>
      <c r="K43" s="5"/>
      <c r="L43" s="5"/>
      <c r="M43" s="5"/>
    </row>
    <row r="44" spans="1:13">
      <c r="A44" s="5"/>
      <c r="B44" s="5"/>
      <c r="C44" s="5"/>
      <c r="D44" s="5"/>
      <c r="E44" s="5"/>
      <c r="F44" s="5"/>
      <c r="G44" s="5"/>
      <c r="H44" s="5"/>
      <c r="I44" s="5"/>
      <c r="J44" s="5"/>
      <c r="K44" s="5"/>
      <c r="L44" s="5"/>
      <c r="M44" s="5"/>
    </row>
    <row r="45" spans="1:13">
      <c r="A45" s="5"/>
      <c r="B45" s="5"/>
      <c r="C45" s="5"/>
      <c r="D45" s="5"/>
      <c r="E45" s="5"/>
      <c r="F45" s="5"/>
      <c r="G45" s="5"/>
      <c r="H45" s="5"/>
      <c r="I45" s="5"/>
      <c r="J45" s="5"/>
      <c r="K45" s="5"/>
      <c r="L45" s="5"/>
      <c r="M45" s="5"/>
    </row>
    <row r="46" spans="1:13">
      <c r="A46" s="591" t="s">
        <v>299</v>
      </c>
      <c r="B46" s="591"/>
      <c r="C46" s="591"/>
      <c r="D46" s="591"/>
      <c r="E46" s="5"/>
      <c r="F46" s="592" t="s">
        <v>202</v>
      </c>
      <c r="G46" s="592"/>
      <c r="H46" s="592"/>
      <c r="I46" s="5"/>
      <c r="J46" s="5"/>
      <c r="K46" s="5"/>
      <c r="L46" s="5"/>
      <c r="M46" s="5"/>
    </row>
    <row r="47" spans="1:13">
      <c r="A47" s="88"/>
      <c r="B47" s="88"/>
      <c r="C47" s="88"/>
      <c r="D47" s="88"/>
      <c r="E47" s="5"/>
      <c r="F47" s="5"/>
      <c r="G47" s="5"/>
      <c r="H47" s="227" t="s">
        <v>211</v>
      </c>
      <c r="I47" s="5"/>
      <c r="J47" s="5"/>
      <c r="K47" s="5"/>
      <c r="L47" s="5"/>
      <c r="M47" s="5"/>
    </row>
    <row r="48" spans="1:13" ht="12.75" customHeight="1">
      <c r="A48" s="127" t="s">
        <v>185</v>
      </c>
      <c r="B48" s="407"/>
      <c r="C48" s="33" t="s">
        <v>194</v>
      </c>
      <c r="D48" s="275">
        <f>($H$25)</f>
        <v>0</v>
      </c>
      <c r="E48" s="75" t="s">
        <v>206</v>
      </c>
      <c r="F48" s="1" t="s">
        <v>199</v>
      </c>
      <c r="G48" s="38" t="s">
        <v>194</v>
      </c>
      <c r="H48" s="275">
        <f>($H$34)</f>
        <v>0</v>
      </c>
      <c r="I48" s="5"/>
      <c r="J48" s="5"/>
      <c r="K48" s="5"/>
      <c r="L48" s="5"/>
      <c r="M48" s="5"/>
    </row>
    <row r="49" spans="1:13" ht="12.75" customHeight="1">
      <c r="A49" s="127" t="s">
        <v>184</v>
      </c>
      <c r="B49" s="407"/>
      <c r="C49" s="33" t="s">
        <v>194</v>
      </c>
      <c r="D49" s="275">
        <f>($H$26)</f>
        <v>0</v>
      </c>
      <c r="E49" s="75" t="s">
        <v>205</v>
      </c>
      <c r="F49" s="1" t="s">
        <v>198</v>
      </c>
      <c r="G49" s="38" t="s">
        <v>194</v>
      </c>
      <c r="H49" s="275">
        <f>ROUND(SUM(PBW_NoInflation!$H$137,PBW_NoInflation!$E$143,PBW_NoInflation!$E$145,PBW_NoInflation!$E$152),-3)</f>
        <v>0</v>
      </c>
      <c r="I49" s="5"/>
      <c r="J49" s="5"/>
      <c r="K49" s="5"/>
      <c r="L49" s="5"/>
      <c r="M49" s="5"/>
    </row>
    <row r="50" spans="1:13" ht="12.75" customHeight="1">
      <c r="A50" s="63" t="s">
        <v>186</v>
      </c>
      <c r="B50" s="408"/>
      <c r="C50" s="52" t="s">
        <v>194</v>
      </c>
      <c r="D50" s="278">
        <f>($H$24)</f>
        <v>0</v>
      </c>
      <c r="E50" s="75" t="s">
        <v>207</v>
      </c>
      <c r="F50" s="1" t="s">
        <v>185</v>
      </c>
      <c r="G50" s="38" t="s">
        <v>194</v>
      </c>
      <c r="H50" s="275">
        <f>($H$24)</f>
        <v>0</v>
      </c>
      <c r="I50" s="5"/>
      <c r="J50" s="5"/>
      <c r="K50" s="5"/>
      <c r="L50" s="5"/>
      <c r="M50" s="5"/>
    </row>
    <row r="51" spans="1:13" ht="12.75" customHeight="1">
      <c r="A51" s="127" t="s">
        <v>187</v>
      </c>
      <c r="B51" s="407" t="str">
        <f>($G$29)</f>
        <v/>
      </c>
      <c r="C51" s="33" t="s">
        <v>194</v>
      </c>
      <c r="D51" s="275">
        <f>($H$29)</f>
        <v>0</v>
      </c>
      <c r="E51" s="75" t="s">
        <v>204</v>
      </c>
      <c r="F51" s="1" t="s">
        <v>190</v>
      </c>
      <c r="G51" s="38" t="s">
        <v>194</v>
      </c>
      <c r="H51" s="275">
        <f>($H$32)</f>
        <v>0</v>
      </c>
      <c r="I51" s="5"/>
      <c r="J51" s="5"/>
      <c r="K51" s="5"/>
      <c r="L51" s="5"/>
      <c r="M51" s="5"/>
    </row>
    <row r="52" spans="1:13" ht="12.75" customHeight="1">
      <c r="A52" s="127" t="s">
        <v>188</v>
      </c>
      <c r="B52" s="407" t="str">
        <f>($G$30)</f>
        <v/>
      </c>
      <c r="C52" s="33" t="s">
        <v>194</v>
      </c>
      <c r="D52" s="275">
        <f>($H$30)</f>
        <v>0</v>
      </c>
      <c r="E52" s="75" t="s">
        <v>208</v>
      </c>
      <c r="F52" s="1" t="s">
        <v>200</v>
      </c>
      <c r="G52" s="38" t="s">
        <v>194</v>
      </c>
      <c r="H52" s="275">
        <f>ROUND(SUM(PBW_NoInflation!$H$164,PBW_NoInflation!$E$146:$E$151),-3)</f>
        <v>0</v>
      </c>
      <c r="I52" s="5"/>
      <c r="J52" s="5"/>
      <c r="K52" s="5"/>
      <c r="L52" s="5"/>
      <c r="M52" s="5"/>
    </row>
    <row r="53" spans="1:13" ht="12.75" customHeight="1">
      <c r="A53" s="63" t="s">
        <v>189</v>
      </c>
      <c r="B53" s="408"/>
      <c r="C53" s="52" t="s">
        <v>194</v>
      </c>
      <c r="D53" s="278">
        <f>($H$28)</f>
        <v>0</v>
      </c>
      <c r="E53" s="75"/>
      <c r="F53" s="1" t="s">
        <v>209</v>
      </c>
      <c r="G53" s="38" t="s">
        <v>194</v>
      </c>
      <c r="H53" s="275">
        <f>(PBW_Summary!$H$54-PBW_Summary_NoInflation!$H$54)</f>
        <v>0</v>
      </c>
      <c r="I53" s="5"/>
      <c r="J53" s="5"/>
      <c r="K53" s="5"/>
      <c r="L53" s="5"/>
      <c r="M53" s="5"/>
    </row>
    <row r="54" spans="1:13" ht="12.75" customHeight="1">
      <c r="A54" s="127" t="s">
        <v>190</v>
      </c>
      <c r="B54" s="407" t="str">
        <f>($G$32)</f>
        <v/>
      </c>
      <c r="C54" s="33" t="s">
        <v>194</v>
      </c>
      <c r="D54" s="275">
        <f>($H$32)</f>
        <v>0</v>
      </c>
      <c r="E54" s="75"/>
      <c r="F54" s="2" t="s">
        <v>201</v>
      </c>
      <c r="G54" s="34" t="s">
        <v>194</v>
      </c>
      <c r="H54" s="278">
        <f>($H$40)</f>
        <v>0</v>
      </c>
      <c r="I54" s="5"/>
      <c r="J54" s="5"/>
      <c r="K54" s="5"/>
      <c r="L54" s="5"/>
      <c r="M54" s="5"/>
    </row>
    <row r="55" spans="1:13" ht="13">
      <c r="A55" s="127" t="s">
        <v>191</v>
      </c>
      <c r="B55" s="407" t="str">
        <f>($G$34)</f>
        <v/>
      </c>
      <c r="C55" s="33" t="s">
        <v>194</v>
      </c>
      <c r="D55" s="275">
        <f>($H$34)</f>
        <v>0</v>
      </c>
      <c r="E55" s="5"/>
      <c r="F55" s="12"/>
      <c r="G55" s="5"/>
      <c r="H55" s="5"/>
      <c r="I55" s="5"/>
      <c r="J55" s="5"/>
      <c r="K55" s="5"/>
      <c r="L55" s="5"/>
      <c r="M55" s="5"/>
    </row>
    <row r="56" spans="1:13" ht="13">
      <c r="A56" s="127" t="s">
        <v>192</v>
      </c>
      <c r="B56" s="407" t="str">
        <f>($G$36)</f>
        <v/>
      </c>
      <c r="C56" s="33" t="s">
        <v>194</v>
      </c>
      <c r="D56" s="275">
        <f>($H$36)</f>
        <v>0</v>
      </c>
      <c r="E56" s="5"/>
      <c r="F56" s="12"/>
      <c r="G56" s="5"/>
      <c r="H56" s="5"/>
      <c r="I56" s="5"/>
      <c r="J56" s="5"/>
      <c r="K56" s="5"/>
      <c r="L56" s="5"/>
      <c r="M56" s="5"/>
    </row>
    <row r="57" spans="1:13" ht="13">
      <c r="A57" s="63" t="s">
        <v>193</v>
      </c>
      <c r="B57" s="408"/>
      <c r="C57" s="52" t="s">
        <v>194</v>
      </c>
      <c r="D57" s="278">
        <f>($H$40)</f>
        <v>0</v>
      </c>
      <c r="E57" s="5"/>
      <c r="F57" s="12"/>
      <c r="G57" s="5"/>
      <c r="H57" s="5"/>
      <c r="I57" s="5"/>
      <c r="J57" s="5"/>
      <c r="K57" s="5"/>
      <c r="L57" s="5"/>
      <c r="M57" s="5"/>
    </row>
    <row r="58" spans="1:13">
      <c r="I58" s="5"/>
      <c r="J58" s="5"/>
      <c r="K58" s="5"/>
      <c r="L58" s="5"/>
      <c r="M58" s="5"/>
    </row>
    <row r="59" spans="1:13">
      <c r="I59" s="5"/>
      <c r="J59" s="5"/>
      <c r="K59" s="5"/>
      <c r="L59" s="5"/>
      <c r="M59" s="5"/>
    </row>
  </sheetData>
  <sheetProtection algorithmName="SHA-512" hashValue="e1r6B5Dv/l01gbPbFeVOxH+ydZZjavXDrBNgMnp3atC6yE2aSkeygI8IYJkkOiNsU+12xiCGrU0gwl1gU/CLPQ==" saltValue="G9fCUFwrO72v2h5EtfZSTw==" spinCount="100000" sheet="1" objects="1" scenarios="1"/>
  <mergeCells count="5">
    <mergeCell ref="A46:D46"/>
    <mergeCell ref="F46:H46"/>
    <mergeCell ref="B3:E3"/>
    <mergeCell ref="B4:E4"/>
    <mergeCell ref="C5:E8"/>
  </mergeCells>
  <printOptions horizontalCentered="1"/>
  <pageMargins left="0.25" right="0.25" top="0.5" bottom="0.5" header="0.25" footer="0.25"/>
  <pageSetup orientation="portrait" horizontalDpi="4294967292" verticalDpi="4294967292" r:id="rId1"/>
  <headerFooter>
    <oddFooter>&amp;L&amp;"Arial Narrow,Regular"&amp;8&amp;K000000&amp;D&amp;C&amp;"Arial Narrow,Regular"&amp;8&amp;K000000PBW Summary&amp;R&amp;"Arial Narrow,Regular"&amp;8&amp;K000000page &amp;P of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42572-A207-E343-9FB9-997E02A7F6CB}">
  <sheetPr codeName="Sheet6">
    <tabColor theme="1" tint="0.249977111117893"/>
  </sheetPr>
  <dimension ref="A1:H186"/>
  <sheetViews>
    <sheetView showGridLines="0" showZeros="0" view="pageLayout" zoomScaleNormal="100" workbookViewId="0">
      <selection activeCell="B3" sqref="B3:E3"/>
    </sheetView>
  </sheetViews>
  <sheetFormatPr baseColWidth="10" defaultColWidth="9.19921875" defaultRowHeight="12"/>
  <cols>
    <col min="1" max="1" width="20" customWidth="1"/>
    <col min="2" max="2" width="18" customWidth="1"/>
    <col min="3" max="3" width="11.796875" customWidth="1"/>
    <col min="4" max="4" width="13.59765625" customWidth="1"/>
    <col min="5" max="5" width="11.796875" customWidth="1"/>
    <col min="6" max="6" width="10" customWidth="1"/>
    <col min="7" max="8" width="13.59765625" customWidth="1"/>
  </cols>
  <sheetData>
    <row r="1" spans="1:8" ht="13">
      <c r="A1" s="133" t="s">
        <v>433</v>
      </c>
      <c r="B1" s="134"/>
      <c r="C1" s="134"/>
      <c r="D1" s="134"/>
      <c r="E1" s="134"/>
      <c r="F1" s="134"/>
      <c r="G1" s="134"/>
      <c r="H1" s="135" t="str">
        <f>"PROJECT BUDGET WORKSHEET (NO INFLATION)"&amp;" "&amp;VERSION</f>
        <v>PROJECT BUDGET WORKSHEET (NO INFLATION) Rev. 2024-03</v>
      </c>
    </row>
    <row r="2" spans="1:8" ht="6" customHeight="1">
      <c r="A2" s="5"/>
      <c r="B2" s="5"/>
      <c r="C2" s="5"/>
      <c r="D2" s="5"/>
      <c r="E2" s="5"/>
      <c r="F2" s="1" t="s">
        <v>20</v>
      </c>
      <c r="G2" s="5"/>
      <c r="H2" s="5"/>
    </row>
    <row r="3" spans="1:8">
      <c r="A3" s="2" t="s">
        <v>21</v>
      </c>
      <c r="B3" s="567" t="str">
        <f>UPPER(IF(ISBLANK(PBW!B3),"",PBW!B3))</f>
        <v>X</v>
      </c>
      <c r="C3" s="567"/>
      <c r="D3" s="567"/>
      <c r="E3" s="567"/>
      <c r="F3" s="1" t="s">
        <v>171</v>
      </c>
      <c r="G3" s="5"/>
      <c r="H3" s="136">
        <f ca="1">IF(ISBLANK(PBW!H3),"",PBW!H3)</f>
        <v>45350.908241550926</v>
      </c>
    </row>
    <row r="4" spans="1:8">
      <c r="A4" s="2" t="s">
        <v>101</v>
      </c>
      <c r="B4" s="5" t="str">
        <f>UPPER(IF(ISBLANK(PBW!B4),"",PBW!B4))</f>
        <v>X</v>
      </c>
      <c r="C4" s="569"/>
      <c r="D4" s="569"/>
      <c r="E4" s="569"/>
      <c r="F4" s="1" t="s">
        <v>172</v>
      </c>
      <c r="G4" s="5"/>
      <c r="H4" s="24" t="str">
        <f>UPPER(IF(ISBLANK(PBW!H4),"",PBW!H4))</f>
        <v>XXX</v>
      </c>
    </row>
    <row r="5" spans="1:8">
      <c r="A5" s="11" t="s">
        <v>266</v>
      </c>
      <c r="B5" s="276" t="str">
        <f>UPPER(IF(ISBLANK(PBW!B5),"",PBW!C5))</f>
        <v/>
      </c>
      <c r="C5" s="569"/>
      <c r="D5" s="569"/>
      <c r="E5" s="569"/>
      <c r="F5" s="5" t="s">
        <v>52</v>
      </c>
      <c r="G5" s="5"/>
      <c r="H5" s="26" t="str">
        <f>UPPER(IF(ISBLANK(PBW!H5),"",PBW!H5))</f>
        <v>XXX</v>
      </c>
    </row>
    <row r="6" spans="1:8">
      <c r="A6" s="2" t="s">
        <v>102</v>
      </c>
      <c r="B6" s="5" t="str">
        <f>UPPER(IF(ISBLANK(PBW!B6),"",PBW!B6))</f>
        <v>X</v>
      </c>
      <c r="C6" s="569"/>
      <c r="D6" s="569"/>
      <c r="E6" s="569"/>
      <c r="F6" s="2" t="s">
        <v>79</v>
      </c>
      <c r="G6" s="5"/>
      <c r="H6" s="46">
        <f>VALUE($H$174)</f>
        <v>0</v>
      </c>
    </row>
    <row r="7" spans="1:8" ht="6" customHeight="1">
      <c r="A7" s="5"/>
      <c r="B7" s="5"/>
      <c r="C7" s="569"/>
      <c r="D7" s="569"/>
      <c r="E7" s="569"/>
      <c r="F7" s="5"/>
      <c r="G7" s="5"/>
      <c r="H7" s="5"/>
    </row>
    <row r="8" spans="1:8">
      <c r="A8" s="2" t="s">
        <v>23</v>
      </c>
      <c r="B8" s="5"/>
      <c r="C8" s="569"/>
      <c r="D8" s="569"/>
      <c r="E8" s="569"/>
      <c r="F8" s="5"/>
      <c r="G8" s="137" t="s">
        <v>173</v>
      </c>
      <c r="H8" s="114" t="s">
        <v>174</v>
      </c>
    </row>
    <row r="9" spans="1:8">
      <c r="A9" s="1" t="s">
        <v>24</v>
      </c>
      <c r="B9" s="138">
        <f>(PBW!B9)</f>
        <v>0</v>
      </c>
      <c r="C9" s="5"/>
      <c r="D9" s="5"/>
      <c r="E9" s="5"/>
      <c r="F9" s="1" t="s">
        <v>61</v>
      </c>
      <c r="G9" s="342">
        <f>(PBW!$G$9)</f>
        <v>8288.93</v>
      </c>
      <c r="H9" s="139">
        <f>(PBW!H9)</f>
        <v>45352</v>
      </c>
    </row>
    <row r="10" spans="1:8">
      <c r="A10" s="1" t="s">
        <v>25</v>
      </c>
      <c r="B10" s="140">
        <f>(PBW!B10)</f>
        <v>0</v>
      </c>
      <c r="C10" s="58">
        <f>IF(ISERR($B$9/$B$10),0,($B$9/$B$10))</f>
        <v>0</v>
      </c>
      <c r="D10" s="5" t="s">
        <v>57</v>
      </c>
      <c r="E10" s="34" t="str">
        <f>IF($H$10&lt;$H$9,"ERROR!","")</f>
        <v/>
      </c>
      <c r="F10" s="1" t="s">
        <v>245</v>
      </c>
      <c r="G10" s="342">
        <f>(PBW!$G$10)</f>
        <v>11405.817660794259</v>
      </c>
      <c r="H10" s="141">
        <f>(PBW!H10)</f>
        <v>47300</v>
      </c>
    </row>
    <row r="11" spans="1:8">
      <c r="A11" s="1"/>
      <c r="B11" s="3"/>
      <c r="C11" s="4"/>
      <c r="D11" s="5"/>
      <c r="E11" s="5"/>
      <c r="F11" s="1" t="s">
        <v>252</v>
      </c>
      <c r="G11" s="5"/>
      <c r="H11" s="118">
        <f>($G$10/$G$9)</f>
        <v>1.3760301583912831</v>
      </c>
    </row>
    <row r="12" spans="1:8">
      <c r="A12" s="2" t="s">
        <v>26</v>
      </c>
      <c r="B12" s="3"/>
      <c r="C12" s="5"/>
      <c r="D12" s="5"/>
      <c r="E12" s="7" t="str">
        <f>IF($H$12&lt;&gt;$H$11,"WARNING! ENR ESCALATION VALUES DO NOT MATCH!","")</f>
        <v/>
      </c>
      <c r="F12" s="1" t="s">
        <v>420</v>
      </c>
      <c r="G12" s="5"/>
      <c r="H12" s="343">
        <f>(PBW!H12)</f>
        <v>1.3760301583912831</v>
      </c>
    </row>
    <row r="13" spans="1:8">
      <c r="A13" s="1" t="s">
        <v>28</v>
      </c>
      <c r="B13" s="138">
        <f>(PBW!B13)</f>
        <v>0</v>
      </c>
      <c r="C13" s="5"/>
      <c r="D13" s="5"/>
      <c r="E13" s="5"/>
      <c r="F13" s="1" t="s">
        <v>182</v>
      </c>
      <c r="G13" s="5"/>
      <c r="H13" s="118">
        <f>($H$12-$H$11)</f>
        <v>0</v>
      </c>
    </row>
    <row r="14" spans="1:8">
      <c r="A14" s="1" t="s">
        <v>29</v>
      </c>
      <c r="B14" s="140">
        <f>(PBW!B14)</f>
        <v>0</v>
      </c>
      <c r="C14" s="58">
        <f>IF(ISERR($B$13/$B$14),0,($B$13/$B$14))</f>
        <v>0</v>
      </c>
      <c r="D14" s="5" t="s">
        <v>58</v>
      </c>
      <c r="E14" s="5"/>
      <c r="F14" s="1" t="s">
        <v>170</v>
      </c>
      <c r="G14" s="115" t="str">
        <f>IF(ISBLANK(PBW!G14),"",PBW!G14)</f>
        <v/>
      </c>
      <c r="H14" s="276" t="str">
        <f>IF(ISBLANK(PBW!H14),"",PBW!H14)</f>
        <v/>
      </c>
    </row>
    <row r="15" spans="1:8" ht="6" customHeight="1" thickBot="1">
      <c r="A15" s="10"/>
      <c r="B15" s="10"/>
      <c r="C15" s="10"/>
      <c r="D15" s="10"/>
      <c r="E15" s="10"/>
      <c r="F15" s="10"/>
      <c r="G15" s="10"/>
      <c r="H15" s="10"/>
    </row>
    <row r="16" spans="1:8">
      <c r="A16" s="2" t="s">
        <v>48</v>
      </c>
      <c r="B16" s="11"/>
      <c r="C16" s="5"/>
      <c r="D16" s="5"/>
      <c r="E16" s="5"/>
      <c r="F16" s="5"/>
      <c r="G16" s="12"/>
      <c r="H16" s="5"/>
    </row>
    <row r="17" spans="1:8">
      <c r="A17" s="1" t="s">
        <v>30</v>
      </c>
      <c r="B17" s="12" t="s">
        <v>31</v>
      </c>
      <c r="C17" s="12" t="s">
        <v>32</v>
      </c>
      <c r="D17" s="14" t="s">
        <v>33</v>
      </c>
      <c r="E17" s="12" t="s">
        <v>34</v>
      </c>
      <c r="F17" s="14"/>
      <c r="G17" s="14" t="s">
        <v>1</v>
      </c>
      <c r="H17" s="5"/>
    </row>
    <row r="18" spans="1:8">
      <c r="A18" s="184" t="str">
        <f>IF(ISBLANK(PBW!A18),"",PBW!A18)</f>
        <v>Function</v>
      </c>
      <c r="B18" s="185">
        <f>IF(ISBLANK(PBW!B18),"",PBW!B18)</f>
        <v>0</v>
      </c>
      <c r="C18" s="186">
        <f>IF(ISBLANK(PBW!C18),"",PBW!C18)</f>
        <v>0</v>
      </c>
      <c r="D18" s="187">
        <f>IF($B18&gt;0,ROUND($B18/$C18,-2),0)</f>
        <v>0</v>
      </c>
      <c r="E18" s="188">
        <f>IF(ISBLANK(PBW!E18),"",PBW!E18)</f>
        <v>0</v>
      </c>
      <c r="F18" s="189"/>
      <c r="G18" s="190">
        <f>ROUND($D18*$E18,-2)</f>
        <v>0</v>
      </c>
      <c r="H18" s="5"/>
    </row>
    <row r="19" spans="1:8">
      <c r="A19" s="142" t="str">
        <f>IF(ISBLANK(PBW!A19),"",PBW!A19)</f>
        <v>Function</v>
      </c>
      <c r="B19" s="143">
        <f>IF(ISBLANK(PBW!B19),"",PBW!B19)</f>
        <v>0</v>
      </c>
      <c r="C19" s="144">
        <f>IF(ISBLANK(PBW!C19),"",PBW!C19)</f>
        <v>0</v>
      </c>
      <c r="D19" s="37">
        <f>IF($B19&gt;0,ROUND($B19/$C19,-2),0)</f>
        <v>0</v>
      </c>
      <c r="E19" s="145">
        <f>IF(ISBLANK(PBW!E19),"",PBW!E19)</f>
        <v>0</v>
      </c>
      <c r="F19" s="15"/>
      <c r="G19" s="32">
        <f>ROUND($D19*$E19,-2)</f>
        <v>0</v>
      </c>
      <c r="H19" s="5"/>
    </row>
    <row r="20" spans="1:8">
      <c r="A20" s="142" t="str">
        <f>IF(ISBLANK(PBW!A20),"",PBW!A20)</f>
        <v>Function</v>
      </c>
      <c r="B20" s="143">
        <f>IF(ISBLANK(PBW!B20),"",PBW!B20)</f>
        <v>0</v>
      </c>
      <c r="C20" s="144">
        <f>IF(ISBLANK(PBW!C20),"",PBW!C20)</f>
        <v>0</v>
      </c>
      <c r="D20" s="37">
        <f>IF($B20&gt;0,ROUND($B20/$C20,-2),0)</f>
        <v>0</v>
      </c>
      <c r="E20" s="145">
        <f>IF(ISBLANK(PBW!E20),"",PBW!E20)</f>
        <v>0</v>
      </c>
      <c r="F20" s="15"/>
      <c r="G20" s="32">
        <f>ROUND($D20*$E20,-2)</f>
        <v>0</v>
      </c>
      <c r="H20" s="5"/>
    </row>
    <row r="21" spans="1:8">
      <c r="A21" s="191" t="str">
        <f>IF(ISBLANK(PBW!A21),"",PBW!A21)</f>
        <v>Function</v>
      </c>
      <c r="B21" s="192">
        <f>IF(ISBLANK(PBW!B21),"",PBW!B21)</f>
        <v>0</v>
      </c>
      <c r="C21" s="193">
        <f>IF(ISBLANK(PBW!C21),"",PBW!C21)</f>
        <v>0</v>
      </c>
      <c r="D21" s="194">
        <f t="shared" ref="D21:D22" si="0">IF($B21&gt;0,ROUND($B21/$C21,-2),0)</f>
        <v>0</v>
      </c>
      <c r="E21" s="195">
        <f>IF(ISBLANK(PBW!E21),"",PBW!E21)</f>
        <v>0</v>
      </c>
      <c r="F21" s="196"/>
      <c r="G21" s="130">
        <f t="shared" ref="G21:G22" si="1">ROUND($D21*$E21,-2)</f>
        <v>0</v>
      </c>
      <c r="H21" s="5"/>
    </row>
    <row r="22" spans="1:8">
      <c r="A22" s="142" t="str">
        <f>IF(ISBLANK(PBW!A22),"",PBW!A22)</f>
        <v>Function</v>
      </c>
      <c r="B22" s="143">
        <f>IF(ISBLANK(PBW!B22),"",PBW!B22)</f>
        <v>0</v>
      </c>
      <c r="C22" s="144">
        <f>IF(ISBLANK(PBW!C22),"",PBW!C22)</f>
        <v>0</v>
      </c>
      <c r="D22" s="37">
        <f t="shared" si="0"/>
        <v>0</v>
      </c>
      <c r="E22" s="145">
        <f>IF(ISBLANK(PBW!E22),"",PBW!E22)</f>
        <v>0</v>
      </c>
      <c r="F22" s="15"/>
      <c r="G22" s="32">
        <f t="shared" si="1"/>
        <v>0</v>
      </c>
      <c r="H22" s="5"/>
    </row>
    <row r="23" spans="1:8">
      <c r="A23" s="142" t="str">
        <f>IF(ISBLANK(PBW!A23),"",PBW!A23)</f>
        <v>Function</v>
      </c>
      <c r="B23" s="143">
        <f>IF(ISBLANK(PBW!B23),"",PBW!B23)</f>
        <v>0</v>
      </c>
      <c r="C23" s="144">
        <f>IF(ISBLANK(PBW!C23),"",PBW!C23)</f>
        <v>0</v>
      </c>
      <c r="D23" s="37">
        <f>IF($B23&gt;0,ROUND($B23/$C23,-2),0)</f>
        <v>0</v>
      </c>
      <c r="E23" s="145">
        <f>IF(ISBLANK(PBW!E23),"",PBW!E23)</f>
        <v>0</v>
      </c>
      <c r="F23" s="15"/>
      <c r="G23" s="32">
        <f>ROUND($D23*$E23,-2)</f>
        <v>0</v>
      </c>
      <c r="H23" s="5"/>
    </row>
    <row r="24" spans="1:8">
      <c r="A24" s="197" t="str">
        <f>IF(ISBLANK(PBW!A24),"",PBW!A24)</f>
        <v>Function</v>
      </c>
      <c r="B24" s="198">
        <f>IF(ISBLANK(PBW!B24),"",PBW!B24)</f>
        <v>0</v>
      </c>
      <c r="C24" s="199">
        <f>IF(ISBLANK(PBW!C24),"",PBW!C24)</f>
        <v>0</v>
      </c>
      <c r="D24" s="187">
        <f>IF($B24&gt;0,ROUND($B24/$C24,-2),0)</f>
        <v>0</v>
      </c>
      <c r="E24" s="200">
        <f>IF(ISBLANK(PBW!E24),"",PBW!E24)</f>
        <v>0</v>
      </c>
      <c r="F24" s="189"/>
      <c r="G24" s="190">
        <f>ROUND($D24*$E24,-2)</f>
        <v>0</v>
      </c>
      <c r="H24" s="5"/>
    </row>
    <row r="25" spans="1:8">
      <c r="A25" s="5"/>
      <c r="B25" s="28">
        <f>SUM(B$18:B$24)</f>
        <v>0</v>
      </c>
      <c r="C25" s="3"/>
      <c r="D25" s="28">
        <f>SUM(D$18:D$24)</f>
        <v>0</v>
      </c>
      <c r="E25" s="32"/>
      <c r="F25" s="1" t="s">
        <v>35</v>
      </c>
      <c r="G25" s="32">
        <f>ROUND(SUM(G$18:G$24),-3)</f>
        <v>0</v>
      </c>
      <c r="H25" s="5"/>
    </row>
    <row r="26" spans="1:8">
      <c r="A26" s="5" t="s">
        <v>138</v>
      </c>
      <c r="B26" s="3"/>
      <c r="C26" s="3"/>
      <c r="D26" s="3"/>
      <c r="E26" s="3"/>
      <c r="F26" s="1"/>
      <c r="G26" s="3"/>
      <c r="H26" s="73">
        <f>($G$25)</f>
        <v>0</v>
      </c>
    </row>
    <row r="27" spans="1:8" ht="6" customHeight="1">
      <c r="A27" s="5"/>
      <c r="B27" s="3"/>
      <c r="C27" s="3"/>
      <c r="D27" s="3"/>
      <c r="E27" s="3"/>
      <c r="F27" s="1"/>
      <c r="G27" s="3"/>
      <c r="H27" s="16"/>
    </row>
    <row r="28" spans="1:8">
      <c r="A28" s="2" t="s">
        <v>49</v>
      </c>
      <c r="B28" s="11"/>
      <c r="C28" s="5"/>
      <c r="D28" s="5"/>
      <c r="E28" s="5"/>
      <c r="F28" s="5"/>
      <c r="G28" s="12"/>
      <c r="H28" s="5"/>
    </row>
    <row r="29" spans="1:8">
      <c r="A29" s="1" t="s">
        <v>30</v>
      </c>
      <c r="B29" s="12" t="s">
        <v>31</v>
      </c>
      <c r="C29" s="12" t="s">
        <v>32</v>
      </c>
      <c r="D29" s="14" t="s">
        <v>33</v>
      </c>
      <c r="E29" s="12" t="s">
        <v>34</v>
      </c>
      <c r="F29" s="14"/>
      <c r="G29" s="14" t="s">
        <v>1</v>
      </c>
      <c r="H29" s="5"/>
    </row>
    <row r="30" spans="1:8">
      <c r="A30" s="184" t="str">
        <f>IF(ISBLANK(PBW!A30),"",PBW!A30)</f>
        <v>Function</v>
      </c>
      <c r="B30" s="185">
        <f>IF(ISBLANK(PBW!B30),"",PBW!B30)</f>
        <v>0</v>
      </c>
      <c r="C30" s="186">
        <f>IF(ISBLANK(PBW!C30),"",PBW!C30)</f>
        <v>0</v>
      </c>
      <c r="D30" s="187">
        <f>IF($B30&gt;0,ROUND($B30/$C30,-2),0)</f>
        <v>0</v>
      </c>
      <c r="E30" s="188">
        <f>IF(ISBLANK(PBW!E30),"",PBW!E30)</f>
        <v>0</v>
      </c>
      <c r="F30" s="189"/>
      <c r="G30" s="190">
        <f>ROUND($D30*$E30,-2)</f>
        <v>0</v>
      </c>
      <c r="H30" s="5"/>
    </row>
    <row r="31" spans="1:8">
      <c r="A31" s="142" t="str">
        <f>IF(ISBLANK(PBW!A31),"",PBW!A31)</f>
        <v>Function</v>
      </c>
      <c r="B31" s="143">
        <f>IF(ISBLANK(PBW!B31),"",PBW!B31)</f>
        <v>0</v>
      </c>
      <c r="C31" s="144">
        <f>IF(ISBLANK(PBW!C31),"",PBW!C31)</f>
        <v>0</v>
      </c>
      <c r="D31" s="37">
        <f>IF($B31&gt;0,ROUND($B31/$C31,-2),0)</f>
        <v>0</v>
      </c>
      <c r="E31" s="145">
        <f>IF(ISBLANK(PBW!E31),"",PBW!E31)</f>
        <v>0</v>
      </c>
      <c r="F31" s="15"/>
      <c r="G31" s="32">
        <f>ROUND($D31*$E31,-2)</f>
        <v>0</v>
      </c>
      <c r="H31" s="5"/>
    </row>
    <row r="32" spans="1:8">
      <c r="A32" s="142" t="str">
        <f>IF(ISBLANK(PBW!A32),"",PBW!A32)</f>
        <v>Function</v>
      </c>
      <c r="B32" s="143">
        <f>IF(ISBLANK(PBW!B32),"",PBW!B32)</f>
        <v>0</v>
      </c>
      <c r="C32" s="144">
        <f>IF(ISBLANK(PBW!C32),"",PBW!C32)</f>
        <v>0</v>
      </c>
      <c r="D32" s="37">
        <f t="shared" ref="D32:D34" si="2">IF($B32&gt;0,ROUND($B32/$C32,-2),0)</f>
        <v>0</v>
      </c>
      <c r="E32" s="145">
        <f>IF(ISBLANK(PBW!E32),"",PBW!E32)</f>
        <v>0</v>
      </c>
      <c r="F32" s="15"/>
      <c r="G32" s="32">
        <f t="shared" ref="G32:G34" si="3">ROUND($D32*$E32,-2)</f>
        <v>0</v>
      </c>
      <c r="H32" s="5"/>
    </row>
    <row r="33" spans="1:8">
      <c r="A33" s="191" t="str">
        <f>IF(ISBLANK(PBW!A33),"",PBW!A33)</f>
        <v>Function</v>
      </c>
      <c r="B33" s="192">
        <f>IF(ISBLANK(PBW!B33),"",PBW!B33)</f>
        <v>0</v>
      </c>
      <c r="C33" s="193">
        <f>IF(ISBLANK(PBW!C33),"",PBW!C33)</f>
        <v>0</v>
      </c>
      <c r="D33" s="194">
        <f t="shared" si="2"/>
        <v>0</v>
      </c>
      <c r="E33" s="195">
        <f>IF(ISBLANK(PBW!E33),"",PBW!E33)</f>
        <v>0</v>
      </c>
      <c r="F33" s="196"/>
      <c r="G33" s="130">
        <f t="shared" si="3"/>
        <v>0</v>
      </c>
      <c r="H33" s="5"/>
    </row>
    <row r="34" spans="1:8">
      <c r="A34" s="142" t="str">
        <f>IF(ISBLANK(PBW!A34),"",PBW!A34)</f>
        <v>Function</v>
      </c>
      <c r="B34" s="143">
        <f>IF(ISBLANK(PBW!B34),"",PBW!B34)</f>
        <v>0</v>
      </c>
      <c r="C34" s="144">
        <f>IF(ISBLANK(PBW!C34),"",PBW!C34)</f>
        <v>0</v>
      </c>
      <c r="D34" s="37">
        <f t="shared" si="2"/>
        <v>0</v>
      </c>
      <c r="E34" s="145">
        <f>IF(ISBLANK(PBW!E34),"",PBW!E34)</f>
        <v>0</v>
      </c>
      <c r="F34" s="15"/>
      <c r="G34" s="32">
        <f t="shared" si="3"/>
        <v>0</v>
      </c>
      <c r="H34" s="5"/>
    </row>
    <row r="35" spans="1:8">
      <c r="A35" s="142" t="str">
        <f>IF(ISBLANK(PBW!A35),"",PBW!A35)</f>
        <v>Function</v>
      </c>
      <c r="B35" s="143">
        <f>IF(ISBLANK(PBW!B35),"",PBW!B35)</f>
        <v>0</v>
      </c>
      <c r="C35" s="144">
        <f>IF(ISBLANK(PBW!C35),"",PBW!C35)</f>
        <v>0</v>
      </c>
      <c r="D35" s="37">
        <f>IF($B35&gt;0,ROUND($B35/$C35,-2),0)</f>
        <v>0</v>
      </c>
      <c r="E35" s="145">
        <f>IF(ISBLANK(PBW!E35),"",PBW!E35)</f>
        <v>0</v>
      </c>
      <c r="F35" s="15"/>
      <c r="G35" s="32">
        <f>ROUND($D35*$E35,-2)</f>
        <v>0</v>
      </c>
      <c r="H35" s="5"/>
    </row>
    <row r="36" spans="1:8">
      <c r="A36" s="197" t="str">
        <f>IF(ISBLANK(PBW!A36),"",PBW!A36)</f>
        <v>Function</v>
      </c>
      <c r="B36" s="198">
        <f>IF(ISBLANK(PBW!B36),"",PBW!B36)</f>
        <v>0</v>
      </c>
      <c r="C36" s="199">
        <f>IF(ISBLANK(PBW!C36),"",PBW!C36)</f>
        <v>0</v>
      </c>
      <c r="D36" s="187">
        <f>IF($B36&gt;0,ROUND($B36/$C36,-2),0)</f>
        <v>0</v>
      </c>
      <c r="E36" s="200">
        <f>IF(ISBLANK(PBW!E36),"",PBW!E36)</f>
        <v>0</v>
      </c>
      <c r="F36" s="189"/>
      <c r="G36" s="190">
        <f>ROUND($D36*$E36,-2)</f>
        <v>0</v>
      </c>
      <c r="H36" s="5"/>
    </row>
    <row r="37" spans="1:8">
      <c r="A37" s="5"/>
      <c r="B37" s="28">
        <f>SUM(B$30:B$36)</f>
        <v>0</v>
      </c>
      <c r="C37" s="3"/>
      <c r="D37" s="28">
        <f>SUM(D$30:D$36)</f>
        <v>0</v>
      </c>
      <c r="E37" s="3"/>
      <c r="F37" s="1" t="s">
        <v>35</v>
      </c>
      <c r="G37" s="32">
        <f>ROUND(SUM(G$30:G$36),-3)</f>
        <v>0</v>
      </c>
      <c r="H37" s="73">
        <f>($G$37)</f>
        <v>0</v>
      </c>
    </row>
    <row r="38" spans="1:8">
      <c r="A38" s="11" t="s">
        <v>50</v>
      </c>
      <c r="B38" s="3"/>
      <c r="C38" s="3"/>
      <c r="D38" s="3"/>
      <c r="E38" s="3"/>
      <c r="F38" s="5"/>
      <c r="G38" s="12"/>
      <c r="H38" s="3"/>
    </row>
    <row r="39" spans="1:8">
      <c r="A39" s="13" t="s">
        <v>36</v>
      </c>
      <c r="B39" s="5"/>
      <c r="C39" s="5"/>
      <c r="D39" s="14" t="s">
        <v>33</v>
      </c>
      <c r="E39" s="14" t="s">
        <v>34</v>
      </c>
      <c r="F39" s="14" t="s">
        <v>140</v>
      </c>
      <c r="G39" s="14" t="s">
        <v>0</v>
      </c>
      <c r="H39" s="5"/>
    </row>
    <row r="40" spans="1:8">
      <c r="A40" s="201" t="s">
        <v>37</v>
      </c>
      <c r="B40" s="202" t="s">
        <v>86</v>
      </c>
      <c r="C40" s="203"/>
      <c r="D40" s="203"/>
      <c r="E40" s="203"/>
      <c r="F40" s="203"/>
      <c r="G40" s="203"/>
      <c r="H40" s="5"/>
    </row>
    <row r="41" spans="1:8">
      <c r="A41" s="424" t="s">
        <v>413</v>
      </c>
      <c r="B41" s="593" t="str">
        <f>IF(ISBLANK(PBW!B41),"",PBW!B41)</f>
        <v>X</v>
      </c>
      <c r="C41" s="609">
        <f>(PBW!C41)</f>
        <v>0</v>
      </c>
      <c r="D41" s="146">
        <f>IF(ISBLANK(PBW!D41),"",PBW!D41)</f>
        <v>0</v>
      </c>
      <c r="E41" s="147">
        <f>IF(ISBLANK(PBW!E41),"",PBW!E41)</f>
        <v>17</v>
      </c>
      <c r="F41" s="49">
        <f>ROUNDUP((10*ENR!$S$15),0)</f>
        <v>17</v>
      </c>
      <c r="G41" s="32">
        <f>ROUND($D41*$E41,-2)</f>
        <v>0</v>
      </c>
      <c r="H41" s="45"/>
    </row>
    <row r="42" spans="1:8">
      <c r="A42" s="424" t="s">
        <v>414</v>
      </c>
      <c r="B42" s="593" t="str">
        <f>IF(ISBLANK(PBW!B42),"",PBW!B42)</f>
        <v>X</v>
      </c>
      <c r="C42" s="609">
        <f>(PBW!C42)</f>
        <v>0</v>
      </c>
      <c r="D42" s="148">
        <f>IF(ISBLANK(PBW!D42),"",PBW!D42)</f>
        <v>0</v>
      </c>
      <c r="E42" s="149">
        <f>IF(ISBLANK(PBW!E42),"",PBW!E42)</f>
        <v>58</v>
      </c>
      <c r="F42" s="49">
        <f>ROUNDUP((35*ENR!$S$15),0)</f>
        <v>58</v>
      </c>
      <c r="G42" s="32">
        <f>ROUND($D42*$E42,-2)</f>
        <v>0</v>
      </c>
      <c r="H42" s="5"/>
    </row>
    <row r="43" spans="1:8">
      <c r="A43" s="424" t="s">
        <v>415</v>
      </c>
      <c r="B43" s="593" t="str">
        <f>IF(ISBLANK(PBW!B43),"",PBW!B43)</f>
        <v>X</v>
      </c>
      <c r="C43" s="609">
        <f>(PBW!C43)</f>
        <v>0</v>
      </c>
      <c r="D43" s="148">
        <f>IF(ISBLANK(PBW!D43),"",PBW!D43)</f>
        <v>0</v>
      </c>
      <c r="E43" s="149">
        <f>IF(ISBLANK(PBW!E43),"",PBW!E43)</f>
        <v>96</v>
      </c>
      <c r="F43" s="49">
        <f>ROUNDUP((58.5*ENR!$S$15),0)</f>
        <v>96</v>
      </c>
      <c r="G43" s="32">
        <f>ROUND($D43*$E43,-2)</f>
        <v>0</v>
      </c>
      <c r="H43" s="5"/>
    </row>
    <row r="44" spans="1:8">
      <c r="A44" s="424" t="s">
        <v>416</v>
      </c>
      <c r="B44" s="593" t="str">
        <f>IF(ISBLANK(PBW!B44),"",PBW!B44)</f>
        <v>X</v>
      </c>
      <c r="C44" s="609">
        <f>(PBW!C44)</f>
        <v>0</v>
      </c>
      <c r="D44" s="150">
        <f>IF(ISBLANK(PBW!D44),"",PBW!D44)</f>
        <v>0</v>
      </c>
      <c r="E44" s="151">
        <f>IF(ISBLANK(PBW!E44),"",PBW!E44)</f>
        <v>115</v>
      </c>
      <c r="F44" s="49">
        <f>ROUNDUP((70*ENR!$S$15),0)</f>
        <v>115</v>
      </c>
      <c r="G44" s="32">
        <f>ROUND($D44*$E44,-2)</f>
        <v>0</v>
      </c>
      <c r="H44" s="5"/>
    </row>
    <row r="45" spans="1:8">
      <c r="A45" s="201" t="s">
        <v>42</v>
      </c>
      <c r="B45" s="203"/>
      <c r="C45" s="203"/>
      <c r="D45" s="204"/>
      <c r="E45" s="205"/>
      <c r="F45" s="205"/>
      <c r="G45" s="132"/>
      <c r="H45" s="5"/>
    </row>
    <row r="46" spans="1:8">
      <c r="A46" s="424" t="s">
        <v>414</v>
      </c>
      <c r="B46" s="593" t="str">
        <f>IF(ISBLANK(PBW!B46),"",PBW!B46)</f>
        <v>X</v>
      </c>
      <c r="C46" s="609">
        <f>(PBW!C46)</f>
        <v>0</v>
      </c>
      <c r="D46" s="146">
        <f>IF(ISBLANK(PBW!D46),"",PBW!D46)</f>
        <v>0</v>
      </c>
      <c r="E46" s="147">
        <f>IF(ISBLANK(PBW!E46),"",PBW!E46)</f>
        <v>19</v>
      </c>
      <c r="F46" s="49">
        <f>ROUNDUP((11.25*ENR!$S$15),0)</f>
        <v>19</v>
      </c>
      <c r="G46" s="32">
        <f>ROUND($D46*$E46,-2)</f>
        <v>0</v>
      </c>
      <c r="H46" s="5"/>
    </row>
    <row r="47" spans="1:8">
      <c r="A47" s="424" t="s">
        <v>415</v>
      </c>
      <c r="B47" s="593" t="str">
        <f>IF(ISBLANK(PBW!B47),"",PBW!B47)</f>
        <v>X</v>
      </c>
      <c r="C47" s="609">
        <f>(PBW!C47)</f>
        <v>0</v>
      </c>
      <c r="D47" s="148">
        <f>IF(ISBLANK(PBW!D47),"",PBW!D47)</f>
        <v>0</v>
      </c>
      <c r="E47" s="149">
        <f>IF(ISBLANK(PBW!E47),"",PBW!E47)</f>
        <v>32</v>
      </c>
      <c r="F47" s="49">
        <f>ROUNDUP((19.5*ENR!$S$15),0)</f>
        <v>32</v>
      </c>
      <c r="G47" s="32">
        <f>ROUND($D47*$E47,-2)</f>
        <v>0</v>
      </c>
      <c r="H47" s="5"/>
    </row>
    <row r="48" spans="1:8">
      <c r="A48" s="424" t="s">
        <v>416</v>
      </c>
      <c r="B48" s="593" t="str">
        <f>IF(ISBLANK(PBW!B48),"",PBW!B48)</f>
        <v>X</v>
      </c>
      <c r="C48" s="609">
        <f>(PBW!C48)</f>
        <v>0</v>
      </c>
      <c r="D48" s="148">
        <f>IF(ISBLANK(PBW!D48),"",PBW!D48)</f>
        <v>0</v>
      </c>
      <c r="E48" s="149">
        <f>IF(ISBLANK(PBW!E48),"",PBW!E48)</f>
        <v>36</v>
      </c>
      <c r="F48" s="49">
        <f>ROUNDUP((22*ENR!$S$15),0)</f>
        <v>36</v>
      </c>
      <c r="G48" s="32">
        <f>ROUND($D48*$E48,-2)</f>
        <v>0</v>
      </c>
      <c r="H48" s="5"/>
    </row>
    <row r="49" spans="1:8">
      <c r="A49" s="424" t="s">
        <v>417</v>
      </c>
      <c r="B49" s="593" t="str">
        <f>IF(ISBLANK(PBW!B49),"",PBW!B49)</f>
        <v>X</v>
      </c>
      <c r="C49" s="609">
        <f>(PBW!C49)</f>
        <v>0</v>
      </c>
      <c r="D49" s="150">
        <f>IF(ISBLANK(PBW!D49),"",PBW!D49)</f>
        <v>0</v>
      </c>
      <c r="E49" s="151">
        <f>IF(ISBLANK(PBW!E49),"",PBW!E49)</f>
        <v>68</v>
      </c>
      <c r="F49" s="49">
        <f>ROUNDUP((41.5*ENR!$S$15),0)</f>
        <v>68</v>
      </c>
      <c r="G49" s="32">
        <f>ROUND($D49*$E49,-2)</f>
        <v>0</v>
      </c>
      <c r="H49" s="5"/>
    </row>
    <row r="50" spans="1:8">
      <c r="A50" s="201" t="s">
        <v>418</v>
      </c>
      <c r="B50" s="203"/>
      <c r="C50" s="203"/>
      <c r="D50" s="204"/>
      <c r="E50" s="205"/>
      <c r="F50" s="205"/>
      <c r="G50" s="132"/>
      <c r="H50" s="5"/>
    </row>
    <row r="51" spans="1:8">
      <c r="A51" s="424" t="s">
        <v>414</v>
      </c>
      <c r="B51" s="593" t="str">
        <f>IF(ISBLANK(PBW!B51),"",PBW!B51)</f>
        <v>X</v>
      </c>
      <c r="C51" s="609">
        <f>(PBW!C51)</f>
        <v>0</v>
      </c>
      <c r="D51" s="146">
        <f>IF(ISBLANK(PBW!D51),"",PBW!D51)</f>
        <v>0</v>
      </c>
      <c r="E51" s="147">
        <f>IF(ISBLANK(PBW!E51),"",PBW!E51)</f>
        <v>25</v>
      </c>
      <c r="F51" s="49">
        <f>ROUNDUP((15*ENR!$S$15),0)</f>
        <v>25</v>
      </c>
      <c r="G51" s="32">
        <f>ROUND($D51*$E51,-2)</f>
        <v>0</v>
      </c>
      <c r="H51" s="5"/>
    </row>
    <row r="52" spans="1:8">
      <c r="A52" s="424" t="s">
        <v>415</v>
      </c>
      <c r="B52" s="593" t="str">
        <f>IF(ISBLANK(PBW!B52),"",PBW!B52)</f>
        <v>X</v>
      </c>
      <c r="C52" s="609">
        <f>(PBW!C52)</f>
        <v>0</v>
      </c>
      <c r="D52" s="148">
        <f>IF(ISBLANK(PBW!D52),"",PBW!D52)</f>
        <v>0</v>
      </c>
      <c r="E52" s="149">
        <f>IF(ISBLANK(PBW!E52),"",PBW!E52)</f>
        <v>53</v>
      </c>
      <c r="F52" s="49">
        <f>ROUNDUP((32*ENR!$S$15),0)</f>
        <v>53</v>
      </c>
      <c r="G52" s="32">
        <f>ROUND($D52*$E52,-2)</f>
        <v>0</v>
      </c>
      <c r="H52" s="5"/>
    </row>
    <row r="53" spans="1:8">
      <c r="A53" s="424" t="s">
        <v>416</v>
      </c>
      <c r="B53" s="593" t="str">
        <f>IF(ISBLANK(PBW!B53),"",PBW!B53)</f>
        <v>X</v>
      </c>
      <c r="C53" s="609">
        <f>(PBW!C53)</f>
        <v>0</v>
      </c>
      <c r="D53" s="150">
        <f>IF(ISBLANK(PBW!D53),"",PBW!D53)</f>
        <v>0</v>
      </c>
      <c r="E53" s="151">
        <f>IF(ISBLANK(PBW!E53),"",PBW!E53)</f>
        <v>79</v>
      </c>
      <c r="F53" s="49">
        <f>ROUNDUP((48*ENR!$S$15),0)</f>
        <v>79</v>
      </c>
      <c r="G53" s="32">
        <f>ROUND($D53*$E53,-2)</f>
        <v>0</v>
      </c>
      <c r="H53" s="5"/>
    </row>
    <row r="54" spans="1:8">
      <c r="A54" s="201" t="s">
        <v>419</v>
      </c>
      <c r="B54" s="203"/>
      <c r="C54" s="203"/>
      <c r="D54" s="204"/>
      <c r="E54" s="205"/>
      <c r="F54" s="205"/>
      <c r="G54" s="132"/>
      <c r="H54" s="5"/>
    </row>
    <row r="55" spans="1:8">
      <c r="A55" s="424" t="s">
        <v>414</v>
      </c>
      <c r="B55" s="593" t="str">
        <f>IF(ISBLANK(PBW!B55),"",PBW!B55)</f>
        <v>X</v>
      </c>
      <c r="C55" s="609">
        <f>(PBW!C55)</f>
        <v>0</v>
      </c>
      <c r="D55" s="146">
        <f>IF(ISBLANK(PBW!D55),"",PBW!D55)</f>
        <v>0</v>
      </c>
      <c r="E55" s="147">
        <f>IF(ISBLANK(PBW!E55),"",PBW!E55)</f>
        <v>20</v>
      </c>
      <c r="F55" s="49">
        <f>ROUNDUP((12*ENR!$S$15),0)</f>
        <v>20</v>
      </c>
      <c r="G55" s="32">
        <f>ROUND($D55*$E55,-2)</f>
        <v>0</v>
      </c>
      <c r="H55" s="5"/>
    </row>
    <row r="56" spans="1:8">
      <c r="A56" s="424" t="s">
        <v>415</v>
      </c>
      <c r="B56" s="593" t="str">
        <f>IF(ISBLANK(PBW!B56),"",PBW!B56)</f>
        <v>X</v>
      </c>
      <c r="C56" s="609">
        <f>(PBW!C56)</f>
        <v>0</v>
      </c>
      <c r="D56" s="148">
        <f>IF(ISBLANK(PBW!D56),"",PBW!D56)</f>
        <v>0</v>
      </c>
      <c r="E56" s="149">
        <f>IF(ISBLANK(PBW!E56),"",PBW!E56)</f>
        <v>35</v>
      </c>
      <c r="F56" s="49">
        <f>ROUNDUP((21*ENR!$S$15),0)</f>
        <v>35</v>
      </c>
      <c r="G56" s="32">
        <f>ROUND($D56*$E56,-2)</f>
        <v>0</v>
      </c>
      <c r="H56" s="5"/>
    </row>
    <row r="57" spans="1:8">
      <c r="A57" s="424" t="s">
        <v>416</v>
      </c>
      <c r="B57" s="593" t="str">
        <f>IF(ISBLANK(PBW!B57),"",PBW!B57)</f>
        <v>X</v>
      </c>
      <c r="C57" s="609">
        <f>(PBW!C57)</f>
        <v>0</v>
      </c>
      <c r="D57" s="150">
        <f>IF(ISBLANK(PBW!D57),"",PBW!D57)</f>
        <v>0</v>
      </c>
      <c r="E57" s="151">
        <f>IF(ISBLANK(PBW!E57),"",PBW!E57)</f>
        <v>45</v>
      </c>
      <c r="F57" s="49">
        <f>ROUNDUP((27*ENR!$S$15),0)</f>
        <v>45</v>
      </c>
      <c r="G57" s="32">
        <f>ROUND($D57*$E57,-2)</f>
        <v>0</v>
      </c>
      <c r="H57" s="5"/>
    </row>
    <row r="58" spans="1:8">
      <c r="A58" s="5"/>
      <c r="B58" s="5"/>
      <c r="C58" s="5"/>
      <c r="D58" s="5"/>
      <c r="E58" s="5"/>
      <c r="F58" s="1" t="s">
        <v>35</v>
      </c>
      <c r="G58" s="28">
        <f>ROUND(SUM(G$41:G$44,G$46:G$49,G$51:G$53,G$55:G$57),-3)</f>
        <v>0</v>
      </c>
      <c r="H58" s="5"/>
    </row>
    <row r="59" spans="1:8">
      <c r="A59" s="5" t="s">
        <v>203</v>
      </c>
      <c r="B59" s="5"/>
      <c r="C59" s="5"/>
      <c r="D59" s="5"/>
      <c r="E59" s="5"/>
      <c r="F59" s="1"/>
      <c r="G59" s="152" t="str">
        <f>IF(AND($G$37&gt;0,$G$58&gt;0),"ERROR?","")</f>
        <v/>
      </c>
      <c r="H59" s="73">
        <f>($G$58)</f>
        <v>0</v>
      </c>
    </row>
    <row r="60" spans="1:8" ht="6" customHeight="1" thickBot="1">
      <c r="A60" s="5"/>
      <c r="B60" s="5"/>
      <c r="C60" s="5"/>
      <c r="D60" s="5"/>
      <c r="E60" s="5"/>
      <c r="F60" s="1"/>
      <c r="G60" s="3"/>
      <c r="H60" s="5"/>
    </row>
    <row r="61" spans="1:8" ht="13" thickBot="1">
      <c r="A61" s="206" t="s">
        <v>137</v>
      </c>
      <c r="B61" s="207"/>
      <c r="C61" s="207"/>
      <c r="D61" s="207"/>
      <c r="E61" s="207"/>
      <c r="F61" s="207"/>
      <c r="G61" s="208"/>
      <c r="H61" s="226">
        <f>ROUND(($H$26+$H$37+$H$59),-3)</f>
        <v>0</v>
      </c>
    </row>
    <row r="62" spans="1:8">
      <c r="A62" s="5" t="str">
        <f>A3</f>
        <v xml:space="preserve">PROJECT TITLE:  </v>
      </c>
      <c r="B62" s="11" t="str">
        <f>IF($B$3="","",$B$3)</f>
        <v>X</v>
      </c>
      <c r="C62" s="5"/>
      <c r="D62" s="5"/>
      <c r="E62" s="5"/>
      <c r="F62" s="5"/>
      <c r="G62" s="5"/>
      <c r="H62" s="5"/>
    </row>
    <row r="63" spans="1:8">
      <c r="A63" s="1" t="str">
        <f>((A61)&amp;" (from page 1)")</f>
        <v>NEW CONSTRUCTION &amp; REMODELING COST SUBTOTAL (from page 1)</v>
      </c>
      <c r="B63" s="5"/>
      <c r="C63" s="5"/>
      <c r="D63" s="11"/>
      <c r="E63" s="11"/>
      <c r="F63" s="11"/>
      <c r="G63" s="12"/>
      <c r="H63" s="32">
        <f>VALUE($H$61)</f>
        <v>0</v>
      </c>
    </row>
    <row r="64" spans="1:8">
      <c r="A64" s="2" t="s">
        <v>78</v>
      </c>
      <c r="B64" s="5"/>
      <c r="C64" s="5"/>
      <c r="D64" s="11"/>
      <c r="E64" s="11"/>
      <c r="F64" s="11"/>
      <c r="G64" s="2"/>
      <c r="H64" s="17"/>
    </row>
    <row r="65" spans="1:8" ht="6" customHeight="1">
      <c r="A65" s="5"/>
      <c r="B65" s="5"/>
      <c r="C65" s="5"/>
      <c r="D65" s="5"/>
      <c r="E65" s="5"/>
      <c r="F65" s="5"/>
      <c r="G65" s="5"/>
      <c r="H65" s="5"/>
    </row>
    <row r="66" spans="1:8">
      <c r="A66" s="13" t="s">
        <v>84</v>
      </c>
      <c r="B66" s="589" t="s">
        <v>85</v>
      </c>
      <c r="C66" s="589"/>
      <c r="D66" s="589"/>
      <c r="E66" s="38" t="s">
        <v>62</v>
      </c>
      <c r="F66" s="38" t="s">
        <v>65</v>
      </c>
      <c r="G66" s="38" t="s">
        <v>63</v>
      </c>
      <c r="H66" s="34" t="s">
        <v>64</v>
      </c>
    </row>
    <row r="67" spans="1:8">
      <c r="A67" s="153" t="s">
        <v>81</v>
      </c>
      <c r="B67" s="596" t="s">
        <v>139</v>
      </c>
      <c r="C67" s="596"/>
      <c r="D67" s="596"/>
      <c r="E67" s="154">
        <f>IF(ISBLANK(PBW!E67),"",PBW!E67)</f>
        <v>0</v>
      </c>
      <c r="F67" s="47" t="str">
        <f>IF(ISBLANK(PBW!F67),"",PBW!F67)</f>
        <v>GSF</v>
      </c>
      <c r="G67" s="81">
        <f>IF(ISBLANK(PBW!G67),"",PBW!G67)</f>
        <v>20.575178184020615</v>
      </c>
      <c r="H67" s="74">
        <f>ROUND(($E67*$G67),-3)</f>
        <v>0</v>
      </c>
    </row>
    <row r="68" spans="1:8">
      <c r="A68" s="153"/>
      <c r="B68" s="155"/>
      <c r="C68" s="155"/>
      <c r="D68" s="155"/>
      <c r="E68" s="156"/>
      <c r="F68" s="1"/>
      <c r="G68" s="32"/>
      <c r="H68" s="28"/>
    </row>
    <row r="69" spans="1:8">
      <c r="A69" s="606" t="s">
        <v>153</v>
      </c>
      <c r="B69" s="607"/>
      <c r="C69" s="607"/>
      <c r="D69" s="607"/>
      <c r="E69" s="607"/>
      <c r="F69" s="607"/>
      <c r="G69" s="608"/>
      <c r="H69" s="48"/>
    </row>
    <row r="70" spans="1:8">
      <c r="A70" s="157" t="str">
        <f>IF(ISBLANK(PBW!A70),"",PBW!A70)</f>
        <v/>
      </c>
      <c r="B70" s="596" t="str">
        <f>IF(ISBLANK(PBW!B70),"",PBW!B70)</f>
        <v/>
      </c>
      <c r="C70" s="596"/>
      <c r="D70" s="596"/>
      <c r="E70" s="158">
        <f>(PBW!E70)</f>
        <v>0</v>
      </c>
      <c r="F70" s="159" t="str">
        <f>IF(ISBLANK(PBW!F70),"",PBW!F70)</f>
        <v/>
      </c>
      <c r="G70" s="160">
        <f>(PBW!G70)</f>
        <v>0</v>
      </c>
      <c r="H70" s="48">
        <f t="shared" ref="H70:H103" si="4">ROUND(($E70*$G70),-2)</f>
        <v>0</v>
      </c>
    </row>
    <row r="71" spans="1:8">
      <c r="A71" s="161" t="str">
        <f>IF(ISBLANK(PBW!A71),"",PBW!A71)</f>
        <v/>
      </c>
      <c r="B71" s="596" t="str">
        <f>IF(ISBLANK(PBW!B71),"",PBW!B71)</f>
        <v/>
      </c>
      <c r="C71" s="596"/>
      <c r="D71" s="596"/>
      <c r="E71" s="158">
        <f>(PBW!E71)</f>
        <v>0</v>
      </c>
      <c r="F71" s="159" t="str">
        <f>IF(ISBLANK(PBW!F71),"",PBW!F71)</f>
        <v/>
      </c>
      <c r="G71" s="160">
        <f>(PBW!G71)</f>
        <v>0</v>
      </c>
      <c r="H71" s="48">
        <f t="shared" si="4"/>
        <v>0</v>
      </c>
    </row>
    <row r="72" spans="1:8">
      <c r="A72" s="162" t="str">
        <f>IF(ISBLANK(PBW!A72),"",PBW!A72)</f>
        <v/>
      </c>
      <c r="B72" s="596" t="str">
        <f>IF(ISBLANK(PBW!B72),"",PBW!B72)</f>
        <v/>
      </c>
      <c r="C72" s="596"/>
      <c r="D72" s="596"/>
      <c r="E72" s="158">
        <f>(PBW!E72)</f>
        <v>0</v>
      </c>
      <c r="F72" s="159" t="str">
        <f>IF(ISBLANK(PBW!F72),"",PBW!F72)</f>
        <v/>
      </c>
      <c r="G72" s="160">
        <f>(PBW!G72)</f>
        <v>0</v>
      </c>
      <c r="H72" s="48">
        <f t="shared" si="4"/>
        <v>0</v>
      </c>
    </row>
    <row r="73" spans="1:8">
      <c r="A73" s="162" t="str">
        <f>IF(ISBLANK(PBW!A73),"",PBW!A73)</f>
        <v/>
      </c>
      <c r="B73" s="596" t="str">
        <f>IF(ISBLANK(PBW!B73),"",PBW!B73)</f>
        <v/>
      </c>
      <c r="C73" s="596"/>
      <c r="D73" s="596"/>
      <c r="E73" s="158">
        <f>(PBW!E73)</f>
        <v>0</v>
      </c>
      <c r="F73" s="159" t="str">
        <f>IF(ISBLANK(PBW!F73),"",PBW!F73)</f>
        <v/>
      </c>
      <c r="G73" s="160">
        <f>(PBW!G73)</f>
        <v>0</v>
      </c>
      <c r="H73" s="48">
        <f t="shared" si="4"/>
        <v>0</v>
      </c>
    </row>
    <row r="74" spans="1:8">
      <c r="A74" s="209" t="str">
        <f>IF(ISBLANK(PBW!A74),"",PBW!A74)</f>
        <v/>
      </c>
      <c r="B74" s="598" t="str">
        <f>IF(ISBLANK(PBW!B74),"",PBW!B74)</f>
        <v/>
      </c>
      <c r="C74" s="599"/>
      <c r="D74" s="600"/>
      <c r="E74" s="210">
        <f>(PBW!E74)</f>
        <v>0</v>
      </c>
      <c r="F74" s="211" t="str">
        <f>IF(ISBLANK(PBW!F74),"",PBW!F74)</f>
        <v/>
      </c>
      <c r="G74" s="212">
        <f>(PBW!G74)</f>
        <v>0</v>
      </c>
      <c r="H74" s="48">
        <f t="shared" si="4"/>
        <v>0</v>
      </c>
    </row>
    <row r="75" spans="1:8">
      <c r="A75" s="161" t="str">
        <f>IF(ISBLANK(PBW!A75),"",PBW!A75)</f>
        <v/>
      </c>
      <c r="B75" s="595" t="str">
        <f>IF(ISBLANK(PBW!B75),"",PBW!B75)</f>
        <v/>
      </c>
      <c r="C75" s="596"/>
      <c r="D75" s="597"/>
      <c r="E75" s="158">
        <f>(PBW!E75)</f>
        <v>0</v>
      </c>
      <c r="F75" s="159" t="str">
        <f>IF(ISBLANK(PBW!F75),"",PBW!F75)</f>
        <v/>
      </c>
      <c r="G75" s="160">
        <f>(PBW!G75)</f>
        <v>0</v>
      </c>
      <c r="H75" s="48">
        <f t="shared" si="4"/>
        <v>0</v>
      </c>
    </row>
    <row r="76" spans="1:8">
      <c r="A76" s="162" t="str">
        <f>IF(ISBLANK(PBW!A76),"",PBW!A76)</f>
        <v/>
      </c>
      <c r="B76" s="595" t="str">
        <f>IF(ISBLANK(PBW!B76),"",PBW!B76)</f>
        <v/>
      </c>
      <c r="C76" s="596"/>
      <c r="D76" s="597"/>
      <c r="E76" s="158">
        <f>(PBW!E76)</f>
        <v>0</v>
      </c>
      <c r="F76" s="159" t="str">
        <f>IF(ISBLANK(PBW!F76),"",PBW!F76)</f>
        <v/>
      </c>
      <c r="G76" s="160">
        <f>(PBW!G76)</f>
        <v>0</v>
      </c>
      <c r="H76" s="48">
        <f t="shared" si="4"/>
        <v>0</v>
      </c>
    </row>
    <row r="77" spans="1:8">
      <c r="A77" s="161" t="str">
        <f>IF(ISBLANK(PBW!A77),"",PBW!A77)</f>
        <v/>
      </c>
      <c r="B77" s="595" t="str">
        <f>IF(ISBLANK(PBW!B77),"",PBW!B77)</f>
        <v/>
      </c>
      <c r="C77" s="596"/>
      <c r="D77" s="597"/>
      <c r="E77" s="158">
        <f>(PBW!E77)</f>
        <v>0</v>
      </c>
      <c r="F77" s="159" t="str">
        <f>IF(ISBLANK(PBW!F77),"",PBW!F77)</f>
        <v/>
      </c>
      <c r="G77" s="160">
        <f>(PBW!G77)</f>
        <v>0</v>
      </c>
      <c r="H77" s="48">
        <f t="shared" si="4"/>
        <v>0</v>
      </c>
    </row>
    <row r="78" spans="1:8">
      <c r="A78" s="161" t="str">
        <f>IF(ISBLANK(PBW!A78),"",PBW!A78)</f>
        <v/>
      </c>
      <c r="B78" s="595" t="str">
        <f>IF(ISBLANK(PBW!B78),"",PBW!B78)</f>
        <v/>
      </c>
      <c r="C78" s="596"/>
      <c r="D78" s="597"/>
      <c r="E78" s="158">
        <f>(PBW!E78)</f>
        <v>0</v>
      </c>
      <c r="F78" s="159" t="str">
        <f>IF(ISBLANK(PBW!F78),"",PBW!F78)</f>
        <v/>
      </c>
      <c r="G78" s="160">
        <f>(PBW!G78)</f>
        <v>0</v>
      </c>
      <c r="H78" s="48">
        <f t="shared" si="4"/>
        <v>0</v>
      </c>
    </row>
    <row r="79" spans="1:8">
      <c r="A79" s="213" t="str">
        <f>IF(ISBLANK(PBW!A79),"",PBW!A79)</f>
        <v/>
      </c>
      <c r="B79" s="598" t="str">
        <f>IF(ISBLANK(PBW!B79),"",PBW!B79)</f>
        <v/>
      </c>
      <c r="C79" s="599"/>
      <c r="D79" s="600"/>
      <c r="E79" s="210">
        <f>(PBW!E79)</f>
        <v>0</v>
      </c>
      <c r="F79" s="211" t="str">
        <f>IF(ISBLANK(PBW!F79),"",PBW!F79)</f>
        <v/>
      </c>
      <c r="G79" s="212">
        <f>(PBW!G79)</f>
        <v>0</v>
      </c>
      <c r="H79" s="48">
        <f t="shared" si="4"/>
        <v>0</v>
      </c>
    </row>
    <row r="80" spans="1:8">
      <c r="A80" s="162" t="str">
        <f>IF(ISBLANK(PBW!A80),"",PBW!A80)</f>
        <v/>
      </c>
      <c r="B80" s="595" t="str">
        <f>IF(ISBLANK(PBW!B80),"",PBW!B80)</f>
        <v/>
      </c>
      <c r="C80" s="596"/>
      <c r="D80" s="597"/>
      <c r="E80" s="158">
        <f>(PBW!E80)</f>
        <v>0</v>
      </c>
      <c r="F80" s="159" t="str">
        <f>IF(ISBLANK(PBW!F80),"",PBW!F80)</f>
        <v/>
      </c>
      <c r="G80" s="160">
        <f>(PBW!G80)</f>
        <v>0</v>
      </c>
      <c r="H80" s="48">
        <f t="shared" si="4"/>
        <v>0</v>
      </c>
    </row>
    <row r="81" spans="1:8">
      <c r="A81" s="162" t="str">
        <f>IF(ISBLANK(PBW!A81),"",PBW!A81)</f>
        <v/>
      </c>
      <c r="B81" s="595" t="str">
        <f>IF(ISBLANK(PBW!B81),"",PBW!B81)</f>
        <v/>
      </c>
      <c r="C81" s="596"/>
      <c r="D81" s="597"/>
      <c r="E81" s="158">
        <f>(PBW!E81)</f>
        <v>0</v>
      </c>
      <c r="F81" s="159" t="str">
        <f>IF(ISBLANK(PBW!F81),"",PBW!F81)</f>
        <v/>
      </c>
      <c r="G81" s="160">
        <f>(PBW!G81)</f>
        <v>0</v>
      </c>
      <c r="H81" s="48">
        <f t="shared" si="4"/>
        <v>0</v>
      </c>
    </row>
    <row r="82" spans="1:8">
      <c r="A82" s="162" t="str">
        <f>IF(ISBLANK(PBW!A82),"",PBW!A82)</f>
        <v/>
      </c>
      <c r="B82" s="595" t="str">
        <f>IF(ISBLANK(PBW!B82),"",PBW!B82)</f>
        <v/>
      </c>
      <c r="C82" s="596"/>
      <c r="D82" s="597"/>
      <c r="E82" s="158">
        <f>(PBW!E82)</f>
        <v>0</v>
      </c>
      <c r="F82" s="159" t="str">
        <f>IF(ISBLANK(PBW!F82),"",PBW!F82)</f>
        <v/>
      </c>
      <c r="G82" s="160">
        <f>(PBW!G82)</f>
        <v>0</v>
      </c>
      <c r="H82" s="48">
        <f t="shared" si="4"/>
        <v>0</v>
      </c>
    </row>
    <row r="83" spans="1:8">
      <c r="A83" s="162" t="str">
        <f>IF(ISBLANK(PBW!A83),"",PBW!A83)</f>
        <v/>
      </c>
      <c r="B83" s="595" t="str">
        <f>IF(ISBLANK(PBW!B83),"",PBW!B83)</f>
        <v/>
      </c>
      <c r="C83" s="596"/>
      <c r="D83" s="597"/>
      <c r="E83" s="158">
        <f>(PBW!E83)</f>
        <v>0</v>
      </c>
      <c r="F83" s="159" t="str">
        <f>IF(ISBLANK(PBW!F83),"",PBW!F83)</f>
        <v/>
      </c>
      <c r="G83" s="160">
        <f>(PBW!G83)</f>
        <v>0</v>
      </c>
      <c r="H83" s="48">
        <f t="shared" si="4"/>
        <v>0</v>
      </c>
    </row>
    <row r="84" spans="1:8">
      <c r="A84" s="213" t="str">
        <f>IF(ISBLANK(PBW!A84),"",PBW!A84)</f>
        <v/>
      </c>
      <c r="B84" s="598" t="str">
        <f>IF(ISBLANK(PBW!B84),"",PBW!B84)</f>
        <v/>
      </c>
      <c r="C84" s="599"/>
      <c r="D84" s="600"/>
      <c r="E84" s="210">
        <f>(PBW!E84)</f>
        <v>0</v>
      </c>
      <c r="F84" s="211" t="str">
        <f>IF(ISBLANK(PBW!F84),"",PBW!F84)</f>
        <v/>
      </c>
      <c r="G84" s="212">
        <f>(PBW!G84)</f>
        <v>0</v>
      </c>
      <c r="H84" s="48">
        <f t="shared" si="4"/>
        <v>0</v>
      </c>
    </row>
    <row r="85" spans="1:8">
      <c r="A85" s="162" t="str">
        <f>IF(ISBLANK(PBW!A85),"",PBW!A85)</f>
        <v/>
      </c>
      <c r="B85" s="595" t="str">
        <f>IF(ISBLANK(PBW!B85),"",PBW!B85)</f>
        <v/>
      </c>
      <c r="C85" s="596"/>
      <c r="D85" s="597"/>
      <c r="E85" s="158">
        <f>(PBW!E85)</f>
        <v>0</v>
      </c>
      <c r="F85" s="159" t="str">
        <f>IF(ISBLANK(PBW!F85),"",PBW!F85)</f>
        <v/>
      </c>
      <c r="G85" s="160">
        <f>(PBW!G85)</f>
        <v>0</v>
      </c>
      <c r="H85" s="48">
        <f t="shared" si="4"/>
        <v>0</v>
      </c>
    </row>
    <row r="86" spans="1:8">
      <c r="A86" s="162" t="str">
        <f>IF(ISBLANK(PBW!A86),"",PBW!A86)</f>
        <v/>
      </c>
      <c r="B86" s="595" t="str">
        <f>IF(ISBLANK(PBW!B86),"",PBW!B86)</f>
        <v/>
      </c>
      <c r="C86" s="596"/>
      <c r="D86" s="597"/>
      <c r="E86" s="158">
        <f>(PBW!E86)</f>
        <v>0</v>
      </c>
      <c r="F86" s="159" t="str">
        <f>IF(ISBLANK(PBW!F86),"",PBW!F86)</f>
        <v/>
      </c>
      <c r="G86" s="160">
        <f>(PBW!G86)</f>
        <v>0</v>
      </c>
      <c r="H86" s="48">
        <f t="shared" si="4"/>
        <v>0</v>
      </c>
    </row>
    <row r="87" spans="1:8">
      <c r="A87" s="162" t="str">
        <f>IF(ISBLANK(PBW!A87),"",PBW!A87)</f>
        <v/>
      </c>
      <c r="B87" s="595" t="str">
        <f>IF(ISBLANK(PBW!B87),"",PBW!B87)</f>
        <v/>
      </c>
      <c r="C87" s="596"/>
      <c r="D87" s="597"/>
      <c r="E87" s="158">
        <f>(PBW!E87)</f>
        <v>0</v>
      </c>
      <c r="F87" s="159" t="str">
        <f>IF(ISBLANK(PBW!F87),"",PBW!F87)</f>
        <v/>
      </c>
      <c r="G87" s="160">
        <f>(PBW!G87)</f>
        <v>0</v>
      </c>
      <c r="H87" s="48">
        <f t="shared" si="4"/>
        <v>0</v>
      </c>
    </row>
    <row r="88" spans="1:8">
      <c r="A88" s="162" t="str">
        <f>IF(ISBLANK(PBW!A88),"",PBW!A88)</f>
        <v/>
      </c>
      <c r="B88" s="595" t="str">
        <f>IF(ISBLANK(PBW!B88),"",PBW!B88)</f>
        <v/>
      </c>
      <c r="C88" s="596"/>
      <c r="D88" s="597"/>
      <c r="E88" s="158">
        <f>(PBW!E88)</f>
        <v>0</v>
      </c>
      <c r="F88" s="159" t="str">
        <f>IF(ISBLANK(PBW!F88),"",PBW!F88)</f>
        <v/>
      </c>
      <c r="G88" s="160">
        <f>(PBW!G88)</f>
        <v>0</v>
      </c>
      <c r="H88" s="48">
        <f t="shared" si="4"/>
        <v>0</v>
      </c>
    </row>
    <row r="89" spans="1:8">
      <c r="A89" s="213" t="str">
        <f>IF(ISBLANK(PBW!A89),"",PBW!A89)</f>
        <v/>
      </c>
      <c r="B89" s="598" t="str">
        <f>IF(ISBLANK(PBW!B89),"",PBW!B89)</f>
        <v/>
      </c>
      <c r="C89" s="599"/>
      <c r="D89" s="600"/>
      <c r="E89" s="210">
        <f>(PBW!E89)</f>
        <v>0</v>
      </c>
      <c r="F89" s="211" t="str">
        <f>IF(ISBLANK(PBW!F89),"",PBW!F89)</f>
        <v/>
      </c>
      <c r="G89" s="212">
        <f>(PBW!G89)</f>
        <v>0</v>
      </c>
      <c r="H89" s="48">
        <f t="shared" si="4"/>
        <v>0</v>
      </c>
    </row>
    <row r="90" spans="1:8">
      <c r="A90" s="162" t="str">
        <f>IF(ISBLANK(PBW!A90),"",PBW!A90)</f>
        <v/>
      </c>
      <c r="B90" s="595" t="str">
        <f>IF(ISBLANK(PBW!B90),"",PBW!B90)</f>
        <v/>
      </c>
      <c r="C90" s="596"/>
      <c r="D90" s="597"/>
      <c r="E90" s="158">
        <f>(PBW!E90)</f>
        <v>0</v>
      </c>
      <c r="F90" s="159" t="str">
        <f>IF(ISBLANK(PBW!F90),"",PBW!F90)</f>
        <v/>
      </c>
      <c r="G90" s="160">
        <f>(PBW!G90)</f>
        <v>0</v>
      </c>
      <c r="H90" s="48">
        <f t="shared" si="4"/>
        <v>0</v>
      </c>
    </row>
    <row r="91" spans="1:8">
      <c r="A91" s="162" t="str">
        <f>IF(ISBLANK(PBW!A91),"",PBW!A91)</f>
        <v/>
      </c>
      <c r="B91" s="595" t="str">
        <f>IF(ISBLANK(PBW!B91),"",PBW!B91)</f>
        <v/>
      </c>
      <c r="C91" s="596"/>
      <c r="D91" s="597"/>
      <c r="E91" s="158">
        <f>(PBW!E91)</f>
        <v>0</v>
      </c>
      <c r="F91" s="159" t="str">
        <f>IF(ISBLANK(PBW!F91),"",PBW!F91)</f>
        <v/>
      </c>
      <c r="G91" s="160">
        <f>(PBW!G91)</f>
        <v>0</v>
      </c>
      <c r="H91" s="48">
        <f t="shared" si="4"/>
        <v>0</v>
      </c>
    </row>
    <row r="92" spans="1:8">
      <c r="A92" s="162" t="str">
        <f>IF(ISBLANK(PBW!A92),"",PBW!A92)</f>
        <v/>
      </c>
      <c r="B92" s="595" t="str">
        <f>IF(ISBLANK(PBW!B92),"",PBW!B92)</f>
        <v/>
      </c>
      <c r="C92" s="596"/>
      <c r="D92" s="597"/>
      <c r="E92" s="158">
        <f>(PBW!E92)</f>
        <v>0</v>
      </c>
      <c r="F92" s="159" t="str">
        <f>IF(ISBLANK(PBW!F92),"",PBW!F92)</f>
        <v/>
      </c>
      <c r="G92" s="160">
        <f>(PBW!G92)</f>
        <v>0</v>
      </c>
      <c r="H92" s="48">
        <f t="shared" si="4"/>
        <v>0</v>
      </c>
    </row>
    <row r="93" spans="1:8">
      <c r="A93" s="162" t="str">
        <f>IF(ISBLANK(PBW!A93),"",PBW!A93)</f>
        <v/>
      </c>
      <c r="B93" s="595" t="str">
        <f>IF(ISBLANK(PBW!B93),"",PBW!B93)</f>
        <v/>
      </c>
      <c r="C93" s="596"/>
      <c r="D93" s="597"/>
      <c r="E93" s="158">
        <f>(PBW!E93)</f>
        <v>0</v>
      </c>
      <c r="F93" s="159" t="str">
        <f>IF(ISBLANK(PBW!F93),"",PBW!F93)</f>
        <v/>
      </c>
      <c r="G93" s="160">
        <f>(PBW!G93)</f>
        <v>0</v>
      </c>
      <c r="H93" s="48">
        <f t="shared" si="4"/>
        <v>0</v>
      </c>
    </row>
    <row r="94" spans="1:8">
      <c r="A94" s="213" t="str">
        <f>IF(ISBLANK(PBW!A94),"",PBW!A94)</f>
        <v/>
      </c>
      <c r="B94" s="598" t="str">
        <f>IF(ISBLANK(PBW!B94),"",PBW!B94)</f>
        <v/>
      </c>
      <c r="C94" s="599"/>
      <c r="D94" s="600"/>
      <c r="E94" s="210">
        <f>(PBW!E94)</f>
        <v>0</v>
      </c>
      <c r="F94" s="211" t="str">
        <f>IF(ISBLANK(PBW!F94),"",PBW!F94)</f>
        <v/>
      </c>
      <c r="G94" s="212">
        <f>(PBW!G94)</f>
        <v>0</v>
      </c>
      <c r="H94" s="48">
        <f t="shared" si="4"/>
        <v>0</v>
      </c>
    </row>
    <row r="95" spans="1:8">
      <c r="A95" s="162" t="str">
        <f>IF(ISBLANK(PBW!A95),"",PBW!A95)</f>
        <v/>
      </c>
      <c r="B95" s="595" t="str">
        <f>IF(ISBLANK(PBW!B95),"",PBW!B95)</f>
        <v/>
      </c>
      <c r="C95" s="596"/>
      <c r="D95" s="597"/>
      <c r="E95" s="158">
        <f>(PBW!E95)</f>
        <v>0</v>
      </c>
      <c r="F95" s="159" t="str">
        <f>IF(ISBLANK(PBW!F95),"",PBW!F95)</f>
        <v/>
      </c>
      <c r="G95" s="160">
        <f>(PBW!G95)</f>
        <v>0</v>
      </c>
      <c r="H95" s="48">
        <f t="shared" si="4"/>
        <v>0</v>
      </c>
    </row>
    <row r="96" spans="1:8">
      <c r="A96" s="162" t="str">
        <f>IF(ISBLANK(PBW!A96),"",PBW!A96)</f>
        <v/>
      </c>
      <c r="B96" s="595" t="str">
        <f>IF(ISBLANK(PBW!B96),"",PBW!B96)</f>
        <v/>
      </c>
      <c r="C96" s="596"/>
      <c r="D96" s="597"/>
      <c r="E96" s="158">
        <f>(PBW!E96)</f>
        <v>0</v>
      </c>
      <c r="F96" s="159" t="str">
        <f>IF(ISBLANK(PBW!F96),"",PBW!F96)</f>
        <v/>
      </c>
      <c r="G96" s="160">
        <f>(PBW!G96)</f>
        <v>0</v>
      </c>
      <c r="H96" s="48">
        <f t="shared" si="4"/>
        <v>0</v>
      </c>
    </row>
    <row r="97" spans="1:8">
      <c r="A97" s="162" t="str">
        <f>IF(ISBLANK(PBW!A97),"",PBW!A97)</f>
        <v/>
      </c>
      <c r="B97" s="595" t="str">
        <f>IF(ISBLANK(PBW!B97),"",PBW!B97)</f>
        <v/>
      </c>
      <c r="C97" s="596"/>
      <c r="D97" s="597"/>
      <c r="E97" s="158">
        <f>(PBW!E97)</f>
        <v>0</v>
      </c>
      <c r="F97" s="159" t="str">
        <f>IF(ISBLANK(PBW!F97),"",PBW!F97)</f>
        <v/>
      </c>
      <c r="G97" s="160">
        <f>(PBW!G97)</f>
        <v>0</v>
      </c>
      <c r="H97" s="48">
        <f t="shared" si="4"/>
        <v>0</v>
      </c>
    </row>
    <row r="98" spans="1:8">
      <c r="A98" s="162" t="str">
        <f>IF(ISBLANK(PBW!A98),"",PBW!A98)</f>
        <v/>
      </c>
      <c r="B98" s="595" t="str">
        <f>IF(ISBLANK(PBW!B98),"",PBW!B98)</f>
        <v/>
      </c>
      <c r="C98" s="596"/>
      <c r="D98" s="597"/>
      <c r="E98" s="158">
        <f>(PBW!E98)</f>
        <v>0</v>
      </c>
      <c r="F98" s="159" t="str">
        <f>IF(ISBLANK(PBW!F98),"",PBW!F98)</f>
        <v/>
      </c>
      <c r="G98" s="160">
        <f>(PBW!G98)</f>
        <v>0</v>
      </c>
      <c r="H98" s="48">
        <f t="shared" si="4"/>
        <v>0</v>
      </c>
    </row>
    <row r="99" spans="1:8">
      <c r="A99" s="213" t="str">
        <f>IF(ISBLANK(PBW!A99),"",PBW!A99)</f>
        <v/>
      </c>
      <c r="B99" s="598" t="str">
        <f>IF(ISBLANK(PBW!B99),"",PBW!B99)</f>
        <v/>
      </c>
      <c r="C99" s="599"/>
      <c r="D99" s="600"/>
      <c r="E99" s="210">
        <f>(PBW!E99)</f>
        <v>0</v>
      </c>
      <c r="F99" s="211" t="str">
        <f>IF(ISBLANK(PBW!F99),"",PBW!F99)</f>
        <v/>
      </c>
      <c r="G99" s="212">
        <f>(PBW!G99)</f>
        <v>0</v>
      </c>
      <c r="H99" s="48">
        <f t="shared" si="4"/>
        <v>0</v>
      </c>
    </row>
    <row r="100" spans="1:8">
      <c r="A100" s="161" t="str">
        <f>IF(ISBLANK(PBW!A100),"",PBW!A100)</f>
        <v/>
      </c>
      <c r="B100" s="595" t="str">
        <f>IF(ISBLANK(PBW!B100),"",PBW!B100)</f>
        <v/>
      </c>
      <c r="C100" s="596"/>
      <c r="D100" s="597"/>
      <c r="E100" s="158">
        <f>(PBW!E100)</f>
        <v>0</v>
      </c>
      <c r="F100" s="159" t="str">
        <f>IF(ISBLANK(PBW!F100),"",PBW!F100)</f>
        <v/>
      </c>
      <c r="G100" s="160">
        <f>(PBW!G100)</f>
        <v>0</v>
      </c>
      <c r="H100" s="48">
        <f t="shared" si="4"/>
        <v>0</v>
      </c>
    </row>
    <row r="101" spans="1:8">
      <c r="A101" s="161" t="str">
        <f>IF(ISBLANK(PBW!A101),"",PBW!A101)</f>
        <v/>
      </c>
      <c r="B101" s="595" t="str">
        <f>IF(ISBLANK(PBW!B101),"",PBW!B101)</f>
        <v/>
      </c>
      <c r="C101" s="596"/>
      <c r="D101" s="597"/>
      <c r="E101" s="158">
        <f>(PBW!E101)</f>
        <v>0</v>
      </c>
      <c r="F101" s="159" t="str">
        <f>IF(ISBLANK(PBW!F101),"",PBW!F101)</f>
        <v/>
      </c>
      <c r="G101" s="160">
        <f>(PBW!G101)</f>
        <v>0</v>
      </c>
      <c r="H101" s="48">
        <f t="shared" si="4"/>
        <v>0</v>
      </c>
    </row>
    <row r="102" spans="1:8">
      <c r="A102" s="162" t="str">
        <f>IF(ISBLANK(PBW!A102),"",PBW!A102)</f>
        <v/>
      </c>
      <c r="B102" s="595" t="str">
        <f>IF(ISBLANK(PBW!B102),"",PBW!B102)</f>
        <v/>
      </c>
      <c r="C102" s="596"/>
      <c r="D102" s="597"/>
      <c r="E102" s="158">
        <f>(PBW!E102)</f>
        <v>0</v>
      </c>
      <c r="F102" s="159" t="str">
        <f>IF(ISBLANK(PBW!F102),"",PBW!F102)</f>
        <v/>
      </c>
      <c r="G102" s="160">
        <f>(PBW!G102)</f>
        <v>0</v>
      </c>
      <c r="H102" s="48">
        <f t="shared" si="4"/>
        <v>0</v>
      </c>
    </row>
    <row r="103" spans="1:8">
      <c r="A103" s="163" t="str">
        <f>IF(ISBLANK(PBW!A103),"",PBW!A103)</f>
        <v/>
      </c>
      <c r="B103" s="602" t="str">
        <f>IF(ISBLANK(PBW!B103),"",PBW!B103)</f>
        <v/>
      </c>
      <c r="C103" s="603"/>
      <c r="D103" s="604"/>
      <c r="E103" s="164">
        <f>(PBW!E103)</f>
        <v>0</v>
      </c>
      <c r="F103" s="165" t="str">
        <f>IF(ISBLANK(PBW!F103),"",PBW!F103)</f>
        <v/>
      </c>
      <c r="G103" s="166">
        <f>(PBW!G103)</f>
        <v>0</v>
      </c>
      <c r="H103" s="48">
        <f t="shared" si="4"/>
        <v>0</v>
      </c>
    </row>
    <row r="104" spans="1:8">
      <c r="A104" s="584" t="s">
        <v>78</v>
      </c>
      <c r="B104" s="584"/>
      <c r="C104" s="584"/>
      <c r="D104" s="584"/>
      <c r="E104" s="584"/>
      <c r="F104" s="584"/>
      <c r="G104" s="584"/>
      <c r="H104" s="73">
        <f>ROUND(SUM(H$70:H$103),-3)</f>
        <v>0</v>
      </c>
    </row>
    <row r="105" spans="1:8">
      <c r="A105" s="167"/>
      <c r="B105" s="605"/>
      <c r="C105" s="605"/>
      <c r="D105" s="605"/>
      <c r="E105" s="168"/>
      <c r="F105" s="169"/>
      <c r="G105" s="170"/>
      <c r="H105" s="48"/>
    </row>
    <row r="106" spans="1:8">
      <c r="A106" s="606" t="s">
        <v>127</v>
      </c>
      <c r="B106" s="607"/>
      <c r="C106" s="607"/>
      <c r="D106" s="607"/>
      <c r="E106" s="607"/>
      <c r="F106" s="607"/>
      <c r="G106" s="608"/>
      <c r="H106" s="48"/>
    </row>
    <row r="107" spans="1:8">
      <c r="A107" s="157" t="str">
        <f>IF(ISBLANK(PBW!A107),"",PBW!A107)</f>
        <v/>
      </c>
      <c r="B107" s="596" t="str">
        <f>IF(ISBLANK(PBW!B107),"",PBW!B107)</f>
        <v/>
      </c>
      <c r="C107" s="596"/>
      <c r="D107" s="596"/>
      <c r="E107" s="171">
        <f>(PBW!E107)</f>
        <v>0</v>
      </c>
      <c r="F107" s="172" t="str">
        <f>IF(ISBLANK(PBW!F107),"",PBW!F107)</f>
        <v/>
      </c>
      <c r="G107" s="173">
        <f>(PBW!G107)</f>
        <v>0</v>
      </c>
      <c r="H107" s="48">
        <f t="shared" ref="H107:H112" si="5">ROUND(($E107*$G107),-2)</f>
        <v>0</v>
      </c>
    </row>
    <row r="108" spans="1:8">
      <c r="A108" s="157" t="str">
        <f>IF(ISBLANK(PBW!A108),"",PBW!A108)</f>
        <v/>
      </c>
      <c r="B108" s="595" t="str">
        <f>IF(ISBLANK(PBW!B108),"",PBW!B108)</f>
        <v/>
      </c>
      <c r="C108" s="596"/>
      <c r="D108" s="597"/>
      <c r="E108" s="171">
        <f>(PBW!E108)</f>
        <v>0</v>
      </c>
      <c r="F108" s="172" t="str">
        <f>IF(ISBLANK(PBW!F108),"",PBW!F108)</f>
        <v/>
      </c>
      <c r="G108" s="173">
        <f>(PBW!G108)</f>
        <v>0</v>
      </c>
      <c r="H108" s="48">
        <f t="shared" si="5"/>
        <v>0</v>
      </c>
    </row>
    <row r="109" spans="1:8">
      <c r="A109" s="214" t="str">
        <f>IF(ISBLANK(PBW!A109),"",PBW!A109)</f>
        <v/>
      </c>
      <c r="B109" s="598" t="str">
        <f>IF(ISBLANK(PBW!B109),"",PBW!B109)</f>
        <v/>
      </c>
      <c r="C109" s="599"/>
      <c r="D109" s="600"/>
      <c r="E109" s="215">
        <f>(PBW!E109)</f>
        <v>0</v>
      </c>
      <c r="F109" s="216" t="str">
        <f>IF(ISBLANK(PBW!F109),"",PBW!F109)</f>
        <v/>
      </c>
      <c r="G109" s="217">
        <f>(PBW!G109)</f>
        <v>0</v>
      </c>
      <c r="H109" s="48">
        <f t="shared" si="5"/>
        <v>0</v>
      </c>
    </row>
    <row r="110" spans="1:8">
      <c r="A110" s="157" t="str">
        <f>IF(ISBLANK(PBW!A110),"",PBW!A110)</f>
        <v/>
      </c>
      <c r="B110" s="595" t="str">
        <f>IF(ISBLANK(PBW!B110),"",PBW!B110)</f>
        <v/>
      </c>
      <c r="C110" s="596"/>
      <c r="D110" s="597"/>
      <c r="E110" s="171">
        <f>(PBW!E110)</f>
        <v>0</v>
      </c>
      <c r="F110" s="172" t="str">
        <f>IF(ISBLANK(PBW!F110),"",PBW!F110)</f>
        <v/>
      </c>
      <c r="G110" s="173">
        <f>(PBW!G110)</f>
        <v>0</v>
      </c>
      <c r="H110" s="48">
        <f t="shared" si="5"/>
        <v>0</v>
      </c>
    </row>
    <row r="111" spans="1:8">
      <c r="A111" s="157" t="str">
        <f>IF(ISBLANK(PBW!A111),"",PBW!A111)</f>
        <v/>
      </c>
      <c r="B111" s="596" t="str">
        <f>IF(ISBLANK(PBW!B111),"",PBW!B111)</f>
        <v/>
      </c>
      <c r="C111" s="596"/>
      <c r="D111" s="596"/>
      <c r="E111" s="171">
        <f>(PBW!E111)</f>
        <v>0</v>
      </c>
      <c r="F111" s="172" t="str">
        <f>IF(ISBLANK(PBW!F111),"",PBW!F111)</f>
        <v/>
      </c>
      <c r="G111" s="173">
        <f>(PBW!G111)</f>
        <v>0</v>
      </c>
      <c r="H111" s="48">
        <f t="shared" si="5"/>
        <v>0</v>
      </c>
    </row>
    <row r="112" spans="1:8">
      <c r="A112" s="218" t="str">
        <f>IF(ISBLANK(PBW!A112),"",PBW!A112)</f>
        <v/>
      </c>
      <c r="B112" s="601" t="str">
        <f>IF(ISBLANK(PBW!B112),"",PBW!B112)</f>
        <v/>
      </c>
      <c r="C112" s="601"/>
      <c r="D112" s="601"/>
      <c r="E112" s="219">
        <f>(PBW!E112)</f>
        <v>0</v>
      </c>
      <c r="F112" s="220" t="str">
        <f>IF(ISBLANK(PBW!F112),"",PBW!F112)</f>
        <v/>
      </c>
      <c r="G112" s="221">
        <f>(PBW!G112)</f>
        <v>0</v>
      </c>
      <c r="H112" s="48">
        <f t="shared" si="5"/>
        <v>0</v>
      </c>
    </row>
    <row r="113" spans="1:8">
      <c r="A113" s="573" t="s">
        <v>132</v>
      </c>
      <c r="B113" s="573"/>
      <c r="C113" s="573"/>
      <c r="D113" s="573"/>
      <c r="E113" s="573"/>
      <c r="F113" s="573"/>
      <c r="G113" s="574"/>
      <c r="H113" s="73">
        <f>ROUND(SUM(H$107:H$112),-3)</f>
        <v>0</v>
      </c>
    </row>
    <row r="114" spans="1:8">
      <c r="A114" s="2"/>
      <c r="B114" s="5"/>
      <c r="C114" s="5"/>
      <c r="D114" s="5"/>
      <c r="E114" s="28"/>
      <c r="F114" s="5"/>
      <c r="G114" s="12"/>
      <c r="H114" s="32"/>
    </row>
    <row r="115" spans="1:8">
      <c r="A115" s="2" t="s">
        <v>135</v>
      </c>
      <c r="B115" s="5"/>
      <c r="C115" s="5"/>
      <c r="D115" s="5"/>
      <c r="E115" s="28"/>
      <c r="F115" s="5"/>
      <c r="G115" s="12"/>
      <c r="H115" s="73">
        <f>SUM($H$67,$H$104,$H$113)</f>
        <v>0</v>
      </c>
    </row>
    <row r="116" spans="1:8" ht="13" thickBot="1">
      <c r="A116" s="5"/>
      <c r="B116" s="5"/>
      <c r="C116" s="5"/>
      <c r="D116" s="5"/>
      <c r="E116" s="5"/>
      <c r="F116" s="5"/>
      <c r="G116" s="5"/>
      <c r="H116" s="3"/>
    </row>
    <row r="117" spans="1:8" ht="13" thickBot="1">
      <c r="A117" s="206" t="s">
        <v>136</v>
      </c>
      <c r="B117" s="207"/>
      <c r="C117" s="207"/>
      <c r="D117" s="207"/>
      <c r="E117" s="207"/>
      <c r="F117" s="206"/>
      <c r="G117" s="208"/>
      <c r="H117" s="226">
        <f>ROUND(SUM($H$63,$H$115),-3)</f>
        <v>0</v>
      </c>
    </row>
    <row r="118" spans="1:8">
      <c r="A118" s="2"/>
      <c r="B118" s="11"/>
      <c r="C118" s="11"/>
      <c r="D118" s="11"/>
      <c r="E118" s="11"/>
      <c r="F118" s="2"/>
      <c r="G118" s="7"/>
      <c r="H118" s="31"/>
    </row>
    <row r="119" spans="1:8">
      <c r="A119" s="1" t="s">
        <v>82</v>
      </c>
      <c r="B119" s="5" t="s">
        <v>83</v>
      </c>
      <c r="C119" s="5"/>
      <c r="D119" s="5"/>
      <c r="E119" s="154">
        <f>(PBW!E119)</f>
        <v>0</v>
      </c>
      <c r="F119" s="47" t="str">
        <f>IF(ISBLANK(PBW!F119),"",PBW!F119)</f>
        <v>SF</v>
      </c>
      <c r="G119" s="81">
        <f>(PBW!G119)</f>
        <v>0</v>
      </c>
      <c r="H119" s="73">
        <f>ROUND(($E119*$G119),-3)</f>
        <v>0</v>
      </c>
    </row>
    <row r="120" spans="1:8">
      <c r="A120" s="2"/>
      <c r="B120" s="11"/>
      <c r="C120" s="11"/>
      <c r="D120" s="11"/>
      <c r="E120" s="11"/>
      <c r="F120" s="2"/>
      <c r="G120" s="7"/>
      <c r="H120" s="31"/>
    </row>
    <row r="121" spans="1:8">
      <c r="A121" s="5" t="str">
        <f>A3</f>
        <v xml:space="preserve">PROJECT TITLE:  </v>
      </c>
      <c r="B121" s="11" t="str">
        <f>IF($B$3="","",$B$3)</f>
        <v>X</v>
      </c>
      <c r="C121" s="5"/>
      <c r="D121" s="5"/>
      <c r="E121" s="5"/>
      <c r="F121" s="5"/>
      <c r="G121" s="5"/>
      <c r="H121" s="5"/>
    </row>
    <row r="122" spans="1:8">
      <c r="A122" s="1" t="str">
        <f>((A$117)&amp;" (from page 2)")</f>
        <v>CONSTRUCTION &amp; REMODELING COST SUBTOTAL (from page 2)</v>
      </c>
      <c r="B122" s="5"/>
      <c r="C122" s="5"/>
      <c r="D122" s="11"/>
      <c r="E122" s="11"/>
      <c r="F122" s="11"/>
      <c r="G122" s="12"/>
      <c r="H122" s="73">
        <f>($H$117)</f>
        <v>0</v>
      </c>
    </row>
    <row r="123" spans="1:8" ht="13" thickBot="1">
      <c r="A123" s="1"/>
      <c r="B123" s="5"/>
      <c r="C123" s="5"/>
      <c r="D123" s="11"/>
      <c r="E123" s="11"/>
      <c r="F123" s="11"/>
      <c r="G123" s="7"/>
      <c r="H123" s="3"/>
    </row>
    <row r="124" spans="1:8" ht="13" thickBot="1">
      <c r="A124" s="222" t="s">
        <v>77</v>
      </c>
      <c r="B124" s="129"/>
      <c r="C124" s="129"/>
      <c r="D124" s="207"/>
      <c r="E124" s="207"/>
      <c r="F124" s="207"/>
      <c r="G124" s="208"/>
      <c r="H124" s="226">
        <f>ROUND(($E$135),-3)</f>
        <v>0</v>
      </c>
    </row>
    <row r="125" spans="1:8">
      <c r="A125" s="70" t="s">
        <v>390</v>
      </c>
      <c r="B125" s="5"/>
      <c r="C125" s="30"/>
      <c r="D125" s="11"/>
      <c r="E125" s="32">
        <f>($H$61)</f>
        <v>0</v>
      </c>
      <c r="F125" s="11"/>
      <c r="G125" s="7"/>
      <c r="H125" s="3"/>
    </row>
    <row r="126" spans="1:8">
      <c r="A126" s="70" t="s">
        <v>391</v>
      </c>
      <c r="B126" s="5"/>
      <c r="C126" s="30"/>
      <c r="D126" s="11"/>
      <c r="E126" s="32">
        <f>($H$67)</f>
        <v>0</v>
      </c>
      <c r="F126" s="11"/>
      <c r="G126" s="7"/>
      <c r="H126" s="3"/>
    </row>
    <row r="127" spans="1:8">
      <c r="A127" s="70" t="s">
        <v>392</v>
      </c>
      <c r="B127" s="5"/>
      <c r="C127" s="30"/>
      <c r="D127" s="11"/>
      <c r="E127" s="32">
        <f>($H$104)</f>
        <v>0</v>
      </c>
      <c r="F127" s="11"/>
      <c r="G127" s="7"/>
      <c r="H127" s="3"/>
    </row>
    <row r="128" spans="1:8">
      <c r="A128" s="70" t="s">
        <v>393</v>
      </c>
      <c r="B128" s="5"/>
      <c r="C128" s="30"/>
      <c r="D128" s="11"/>
      <c r="E128" s="77">
        <f>($H$113)</f>
        <v>0</v>
      </c>
      <c r="F128" s="11"/>
      <c r="G128" s="7"/>
      <c r="H128" s="3"/>
    </row>
    <row r="129" spans="1:8">
      <c r="A129" s="70" t="s">
        <v>394</v>
      </c>
      <c r="B129" s="5"/>
      <c r="C129" s="30"/>
      <c r="D129" s="11"/>
      <c r="E129" s="32">
        <f>($H$117)</f>
        <v>0</v>
      </c>
      <c r="F129" s="11"/>
      <c r="G129" s="7"/>
      <c r="H129" s="3"/>
    </row>
    <row r="130" spans="1:8">
      <c r="A130" s="70" t="s">
        <v>107</v>
      </c>
      <c r="B130" s="5"/>
      <c r="C130" s="174">
        <f>(PBW!C130)</f>
        <v>0</v>
      </c>
      <c r="D130" s="32">
        <f>($H$122)</f>
        <v>0</v>
      </c>
      <c r="E130" s="32">
        <f>ROUND(($C130*$D$130),-2)</f>
        <v>0</v>
      </c>
      <c r="F130" s="11"/>
      <c r="G130" s="7"/>
      <c r="H130" s="3"/>
    </row>
    <row r="131" spans="1:8">
      <c r="A131" s="70" t="s">
        <v>427</v>
      </c>
      <c r="B131" s="5"/>
      <c r="C131" s="426">
        <f>(PBW!C131)</f>
        <v>0</v>
      </c>
      <c r="D131" s="32">
        <f>($H$122)</f>
        <v>0</v>
      </c>
      <c r="E131" s="32">
        <f>ROUND(($C131*$D$131),-2)</f>
        <v>0</v>
      </c>
      <c r="F131" s="11"/>
      <c r="G131" s="7"/>
      <c r="H131" s="3"/>
    </row>
    <row r="132" spans="1:8">
      <c r="A132" s="70" t="s">
        <v>116</v>
      </c>
      <c r="B132" s="5"/>
      <c r="C132" s="174">
        <f>(PBW!C132)</f>
        <v>0</v>
      </c>
      <c r="D132" s="32">
        <f>($H$122)</f>
        <v>0</v>
      </c>
      <c r="E132" s="32">
        <f>ROUND(($C132*$D$132),-2)</f>
        <v>0</v>
      </c>
      <c r="F132" s="11"/>
      <c r="G132" s="7"/>
      <c r="H132" s="3"/>
    </row>
    <row r="133" spans="1:8">
      <c r="A133" s="70" t="s">
        <v>395</v>
      </c>
      <c r="B133" s="5"/>
      <c r="C133" s="30"/>
      <c r="D133" s="11"/>
      <c r="E133" s="77">
        <f>($H$119)</f>
        <v>0</v>
      </c>
      <c r="F133" s="11"/>
      <c r="G133" s="7"/>
      <c r="H133" s="3"/>
    </row>
    <row r="134" spans="1:8">
      <c r="A134" s="70" t="s">
        <v>396</v>
      </c>
      <c r="B134" s="5"/>
      <c r="C134" s="30"/>
      <c r="D134" s="11"/>
      <c r="E134" s="32">
        <f>SUM(E$129:E$133)</f>
        <v>0</v>
      </c>
      <c r="F134" s="11"/>
      <c r="G134" s="7"/>
      <c r="H134" s="3"/>
    </row>
    <row r="135" spans="1:8">
      <c r="A135" s="425" t="s">
        <v>421</v>
      </c>
      <c r="B135" s="72"/>
      <c r="C135" s="243">
        <v>1</v>
      </c>
      <c r="D135" s="71">
        <f>($E$134)</f>
        <v>0</v>
      </c>
      <c r="E135" s="244">
        <f>ROUND(($D$135*$C$135),-2)</f>
        <v>0</v>
      </c>
      <c r="F135" s="11"/>
      <c r="G135" s="7"/>
      <c r="H135" s="3"/>
    </row>
    <row r="136" spans="1:8" ht="13" thickBot="1">
      <c r="A136" s="1"/>
      <c r="B136" s="5"/>
      <c r="C136" s="5"/>
      <c r="D136" s="11"/>
      <c r="E136" s="11"/>
      <c r="F136" s="11"/>
      <c r="G136" s="7"/>
      <c r="H136" s="3"/>
    </row>
    <row r="137" spans="1:8" ht="13" thickBot="1">
      <c r="A137" s="222" t="s">
        <v>74</v>
      </c>
      <c r="B137" s="129"/>
      <c r="C137" s="129"/>
      <c r="D137" s="132"/>
      <c r="E137" s="132"/>
      <c r="F137" s="223"/>
      <c r="G137" s="224" t="str">
        <f>IF($H$137=0,"",($H$137/TOTCONST))</f>
        <v/>
      </c>
      <c r="H137" s="226">
        <f>ROUND(SUM($E$138:$E$140),-3)</f>
        <v>0</v>
      </c>
    </row>
    <row r="138" spans="1:8">
      <c r="A138" s="70" t="s">
        <v>398</v>
      </c>
      <c r="B138" s="5"/>
      <c r="C138" s="174">
        <f>(PBW!C138)</f>
        <v>0</v>
      </c>
      <c r="D138" s="3">
        <f>($H$124)</f>
        <v>0</v>
      </c>
      <c r="E138" s="32">
        <f>IF($E$139&gt;0,0,((ROUND(($C138*$D$138),-2))))</f>
        <v>0</v>
      </c>
      <c r="F138" s="1"/>
      <c r="G138" s="5"/>
      <c r="H138" s="3"/>
    </row>
    <row r="139" spans="1:8">
      <c r="A139" s="70" t="s">
        <v>399</v>
      </c>
      <c r="B139" s="5"/>
      <c r="C139" s="50" t="str">
        <f>IF($E$139=0,"",($E$139/TOTCONST))</f>
        <v/>
      </c>
      <c r="D139" s="3"/>
      <c r="E139" s="175">
        <f>(PBW!E139)</f>
        <v>0</v>
      </c>
      <c r="F139" s="1"/>
      <c r="G139" s="5"/>
      <c r="H139" s="3"/>
    </row>
    <row r="140" spans="1:8">
      <c r="A140" s="70" t="s">
        <v>400</v>
      </c>
      <c r="B140" s="5"/>
      <c r="C140" s="174">
        <f>(PBW!C140)</f>
        <v>0</v>
      </c>
      <c r="D140" s="3">
        <f>($E$138+$E$139)</f>
        <v>0</v>
      </c>
      <c r="E140" s="32">
        <f>ROUND($C140*D$140,-2)</f>
        <v>0</v>
      </c>
      <c r="F140" s="5"/>
      <c r="G140" s="5"/>
      <c r="H140" s="3"/>
    </row>
    <row r="141" spans="1:8" ht="13" thickBot="1">
      <c r="A141" s="1"/>
      <c r="B141" s="5"/>
      <c r="C141" s="30"/>
      <c r="D141" s="3"/>
      <c r="E141" s="3"/>
      <c r="F141" s="5"/>
      <c r="G141" s="5"/>
      <c r="H141" s="3"/>
    </row>
    <row r="142" spans="1:8" ht="13" thickBot="1">
      <c r="A142" s="222" t="s">
        <v>75</v>
      </c>
      <c r="B142" s="129"/>
      <c r="C142" s="225"/>
      <c r="D142" s="132"/>
      <c r="E142" s="132"/>
      <c r="F142" s="129"/>
      <c r="G142" s="224" t="str">
        <f>IF($H$142=0,"",($H$142/TOTCONST))</f>
        <v/>
      </c>
      <c r="H142" s="226">
        <f>ROUND(SUM($E$143:$E$152),-3)</f>
        <v>0</v>
      </c>
    </row>
    <row r="143" spans="1:8">
      <c r="A143" s="70" t="s">
        <v>401</v>
      </c>
      <c r="B143" s="5"/>
      <c r="C143" s="174">
        <f>(PBW!C143)</f>
        <v>0</v>
      </c>
      <c r="D143" s="3">
        <f>($H$124)</f>
        <v>0</v>
      </c>
      <c r="E143" s="32">
        <f>ROUND(($C143*$D$143),-2)</f>
        <v>0</v>
      </c>
      <c r="F143" s="1"/>
      <c r="G143" s="5"/>
      <c r="H143" s="3"/>
    </row>
    <row r="144" spans="1:8">
      <c r="A144" s="70" t="s">
        <v>423</v>
      </c>
      <c r="B144" s="5"/>
      <c r="C144" s="30"/>
      <c r="D144" s="3"/>
      <c r="E144" s="175">
        <f>(PBW!E144)</f>
        <v>0</v>
      </c>
      <c r="F144" s="5"/>
      <c r="G144" s="5"/>
      <c r="H144" s="3"/>
    </row>
    <row r="145" spans="1:8">
      <c r="A145" s="70" t="s">
        <v>402</v>
      </c>
      <c r="B145" s="5"/>
      <c r="C145" s="176">
        <f>(PBW!C145)</f>
        <v>0</v>
      </c>
      <c r="D145" s="3">
        <f>($H$124)</f>
        <v>0</v>
      </c>
      <c r="E145" s="32">
        <f>ROUND(($C$145*$D$145),-2)</f>
        <v>0</v>
      </c>
      <c r="F145" s="5"/>
      <c r="G145" s="5"/>
      <c r="H145" s="3"/>
    </row>
    <row r="146" spans="1:8">
      <c r="A146" s="70" t="s">
        <v>403</v>
      </c>
      <c r="B146" s="5"/>
      <c r="C146" s="58"/>
      <c r="D146" s="3"/>
      <c r="E146" s="177">
        <f>(PBW!E146)</f>
        <v>0</v>
      </c>
      <c r="F146" s="5"/>
      <c r="G146" s="5"/>
      <c r="H146" s="3"/>
    </row>
    <row r="147" spans="1:8">
      <c r="A147" s="70" t="s">
        <v>404</v>
      </c>
      <c r="B147" s="5"/>
      <c r="C147" s="30"/>
      <c r="D147" s="3"/>
      <c r="E147" s="178">
        <f>(PBW!E147)</f>
        <v>0</v>
      </c>
      <c r="F147" s="5"/>
      <c r="G147" s="5"/>
      <c r="H147" s="3"/>
    </row>
    <row r="148" spans="1:8">
      <c r="A148" s="70" t="s">
        <v>405</v>
      </c>
      <c r="B148" s="5"/>
      <c r="C148" s="30"/>
      <c r="D148" s="3"/>
      <c r="E148" s="178">
        <f>(PBW!E148)</f>
        <v>0</v>
      </c>
      <c r="F148" s="5"/>
      <c r="G148" s="5"/>
      <c r="H148" s="3"/>
    </row>
    <row r="149" spans="1:8">
      <c r="A149" s="594" t="s">
        <v>406</v>
      </c>
      <c r="B149" s="594"/>
      <c r="C149" s="594"/>
      <c r="D149" s="3"/>
      <c r="E149" s="178">
        <f>(PBW!E149)</f>
        <v>0</v>
      </c>
      <c r="F149" s="5"/>
      <c r="G149" s="5"/>
      <c r="H149" s="3"/>
    </row>
    <row r="150" spans="1:8">
      <c r="A150" s="594" t="s">
        <v>406</v>
      </c>
      <c r="B150" s="594"/>
      <c r="C150" s="594"/>
      <c r="D150" s="3"/>
      <c r="E150" s="178">
        <f>(PBW!E150)</f>
        <v>0</v>
      </c>
      <c r="F150" s="5"/>
      <c r="G150" s="5"/>
      <c r="H150" s="3"/>
    </row>
    <row r="151" spans="1:8">
      <c r="A151" s="594" t="s">
        <v>406</v>
      </c>
      <c r="B151" s="594"/>
      <c r="C151" s="594"/>
      <c r="D151" s="3"/>
      <c r="E151" s="179">
        <f>(PBW!E151)</f>
        <v>0</v>
      </c>
      <c r="F151" s="5"/>
      <c r="G151" s="5"/>
      <c r="H151" s="3"/>
    </row>
    <row r="152" spans="1:8">
      <c r="A152" s="70" t="s">
        <v>407</v>
      </c>
      <c r="B152" s="5"/>
      <c r="C152" s="176">
        <f>(PBW!C152)</f>
        <v>0</v>
      </c>
      <c r="D152" s="32">
        <f>($G$153)</f>
        <v>0</v>
      </c>
      <c r="E152" s="32">
        <f>ROUND(($C$152*$D$152),-2)</f>
        <v>0</v>
      </c>
      <c r="F152" s="5"/>
      <c r="G152" s="5"/>
      <c r="H152" s="3"/>
    </row>
    <row r="153" spans="1:8">
      <c r="A153" s="423" t="s">
        <v>422</v>
      </c>
      <c r="B153" s="129"/>
      <c r="C153" s="180"/>
      <c r="D153" s="130"/>
      <c r="E153" s="32"/>
      <c r="F153" s="12" t="s">
        <v>133</v>
      </c>
      <c r="G153" s="73">
        <f>ROUND(SUM($E$154:$E$158),-2)</f>
        <v>0</v>
      </c>
      <c r="H153" s="3"/>
    </row>
    <row r="154" spans="1:8">
      <c r="A154" s="70" t="s">
        <v>408</v>
      </c>
      <c r="B154" s="70"/>
      <c r="C154" s="70"/>
      <c r="D154" s="3"/>
      <c r="E154" s="177">
        <f>(PBW!E154)</f>
        <v>0</v>
      </c>
      <c r="F154" s="5"/>
      <c r="G154" s="5"/>
      <c r="H154" s="3"/>
    </row>
    <row r="155" spans="1:8">
      <c r="A155" s="70" t="s">
        <v>409</v>
      </c>
      <c r="B155" s="70"/>
      <c r="C155" s="70"/>
      <c r="D155" s="3"/>
      <c r="E155" s="178">
        <f>(PBW!E155)</f>
        <v>0</v>
      </c>
      <c r="F155" s="5"/>
      <c r="G155" s="5"/>
      <c r="H155" s="3"/>
    </row>
    <row r="156" spans="1:8">
      <c r="A156" s="594" t="s">
        <v>410</v>
      </c>
      <c r="B156" s="594"/>
      <c r="C156" s="594"/>
      <c r="D156" s="3"/>
      <c r="E156" s="178">
        <f>(PBW!E156)</f>
        <v>0</v>
      </c>
      <c r="F156" s="5"/>
      <c r="G156" s="5"/>
      <c r="H156" s="3"/>
    </row>
    <row r="157" spans="1:8">
      <c r="A157" s="594" t="s">
        <v>410</v>
      </c>
      <c r="B157" s="594"/>
      <c r="C157" s="594"/>
      <c r="D157" s="3"/>
      <c r="E157" s="178">
        <f>(PBW!E157)</f>
        <v>0</v>
      </c>
      <c r="F157" s="5"/>
      <c r="G157" s="5"/>
      <c r="H157" s="3"/>
    </row>
    <row r="158" spans="1:8">
      <c r="A158" s="594" t="s">
        <v>410</v>
      </c>
      <c r="B158" s="594"/>
      <c r="C158" s="594"/>
      <c r="D158" s="3"/>
      <c r="E158" s="179">
        <f>(PBW!E158)</f>
        <v>0</v>
      </c>
      <c r="F158" s="5"/>
      <c r="G158" s="5"/>
      <c r="H158" s="3"/>
    </row>
    <row r="159" spans="1:8" ht="13" thickBot="1">
      <c r="A159" s="1"/>
      <c r="B159" s="5"/>
      <c r="C159" s="30"/>
      <c r="D159" s="3"/>
      <c r="E159" s="5"/>
      <c r="F159" s="5"/>
      <c r="G159" s="5"/>
      <c r="H159" s="3"/>
    </row>
    <row r="160" spans="1:8" ht="13" thickBot="1">
      <c r="A160" s="222" t="s">
        <v>76</v>
      </c>
      <c r="B160" s="129"/>
      <c r="C160" s="181">
        <f>(PBW!C160)</f>
        <v>0</v>
      </c>
      <c r="D160" s="130">
        <f>($H$124)</f>
        <v>0</v>
      </c>
      <c r="E160" s="130">
        <f>ROUND($C160*$D160,-2)</f>
        <v>0</v>
      </c>
      <c r="F160" s="223"/>
      <c r="G160" s="129"/>
      <c r="H160" s="226">
        <f>ROUND(VALUE($E$160),-3)</f>
        <v>0</v>
      </c>
    </row>
    <row r="161" spans="1:8" ht="13" thickBot="1">
      <c r="A161" s="1"/>
      <c r="B161" s="5"/>
      <c r="C161" s="30"/>
      <c r="D161" s="3"/>
      <c r="E161" s="5"/>
      <c r="F161" s="5"/>
      <c r="G161" s="5"/>
      <c r="H161" s="3"/>
    </row>
    <row r="162" spans="1:8" ht="13" thickBot="1">
      <c r="A162" s="222" t="s">
        <v>103</v>
      </c>
      <c r="B162" s="129"/>
      <c r="C162" s="174">
        <f>(PBW!C162)</f>
        <v>0</v>
      </c>
      <c r="D162" s="130">
        <f>SUM($H$124+$H$160)</f>
        <v>0</v>
      </c>
      <c r="E162" s="130">
        <f>ROUND($C162*$D162,-2)</f>
        <v>0</v>
      </c>
      <c r="F162" s="223"/>
      <c r="G162" s="129"/>
      <c r="H162" s="226">
        <f>ROUND(VALUE($E$162),-3)</f>
        <v>0</v>
      </c>
    </row>
    <row r="163" spans="1:8" ht="13" thickBot="1">
      <c r="A163" s="5"/>
      <c r="B163" s="5"/>
      <c r="C163" s="21"/>
      <c r="D163" s="3"/>
      <c r="E163" s="3"/>
      <c r="F163" s="5"/>
      <c r="G163" s="5"/>
      <c r="H163" s="3"/>
    </row>
    <row r="164" spans="1:8" ht="13" thickBot="1">
      <c r="A164" s="222" t="s">
        <v>125</v>
      </c>
      <c r="B164" s="129"/>
      <c r="C164" s="131"/>
      <c r="D164" s="132"/>
      <c r="E164" s="132"/>
      <c r="F164" s="223"/>
      <c r="G164" s="180" t="str">
        <f>IF($H$164=0,"",($H$164/TOTCONST))</f>
        <v/>
      </c>
      <c r="H164" s="226">
        <f>ROUND(SUM($E$165:$E$172),-3)</f>
        <v>0</v>
      </c>
    </row>
    <row r="165" spans="1:8">
      <c r="A165" s="70" t="s">
        <v>411</v>
      </c>
      <c r="B165" s="5"/>
      <c r="C165" s="21"/>
      <c r="D165" s="3"/>
      <c r="E165" s="32">
        <f>ROUND(SUM($E$154:$E$158),-2)</f>
        <v>0</v>
      </c>
      <c r="F165" s="1"/>
      <c r="G165" s="5"/>
      <c r="H165" s="46"/>
    </row>
    <row r="166" spans="1:8">
      <c r="A166" s="423" t="s">
        <v>129</v>
      </c>
      <c r="B166" s="129"/>
      <c r="C166" s="131"/>
      <c r="D166" s="132"/>
      <c r="E166" s="3"/>
      <c r="F166" s="12" t="s">
        <v>134</v>
      </c>
      <c r="G166" s="73">
        <f>ROUND(SUM($E$167:$E$172),-2)</f>
        <v>0</v>
      </c>
      <c r="H166" s="46"/>
    </row>
    <row r="167" spans="1:8">
      <c r="A167" s="70" t="s">
        <v>425</v>
      </c>
      <c r="B167" s="5"/>
      <c r="C167" s="174">
        <f>(PBW!C167)</f>
        <v>0</v>
      </c>
      <c r="D167" s="32">
        <f>($H$124)</f>
        <v>0</v>
      </c>
      <c r="E167" s="32">
        <f>ROUND($C167*$D167,-2)</f>
        <v>0</v>
      </c>
      <c r="F167" s="182"/>
      <c r="G167" s="5"/>
      <c r="H167" s="3"/>
    </row>
    <row r="168" spans="1:8">
      <c r="A168" s="70" t="s">
        <v>408</v>
      </c>
      <c r="B168" s="5"/>
      <c r="C168" s="5"/>
      <c r="D168" s="3"/>
      <c r="E168" s="177">
        <f>(PBW!E168)</f>
        <v>0</v>
      </c>
      <c r="F168" s="182"/>
      <c r="G168" s="5"/>
      <c r="H168" s="3"/>
    </row>
    <row r="169" spans="1:8">
      <c r="A169" s="70" t="s">
        <v>409</v>
      </c>
      <c r="B169" s="5"/>
      <c r="C169" s="5"/>
      <c r="D169" s="3"/>
      <c r="E169" s="178">
        <f>(PBW!E169)</f>
        <v>0</v>
      </c>
      <c r="F169" s="182"/>
      <c r="G169" s="5"/>
      <c r="H169" s="3"/>
    </row>
    <row r="170" spans="1:8">
      <c r="A170" s="594" t="s">
        <v>424</v>
      </c>
      <c r="B170" s="594"/>
      <c r="C170" s="594"/>
      <c r="D170" s="3"/>
      <c r="E170" s="178">
        <f>(PBW!E170)</f>
        <v>0</v>
      </c>
      <c r="F170" s="182"/>
      <c r="G170" s="5"/>
      <c r="H170" s="3"/>
    </row>
    <row r="171" spans="1:8">
      <c r="A171" s="594" t="s">
        <v>424</v>
      </c>
      <c r="B171" s="594"/>
      <c r="C171" s="594"/>
      <c r="D171" s="3"/>
      <c r="E171" s="178">
        <f>(PBW!E171)</f>
        <v>0</v>
      </c>
      <c r="F171" s="182"/>
      <c r="G171" s="5"/>
      <c r="H171" s="3"/>
    </row>
    <row r="172" spans="1:8">
      <c r="A172" s="594" t="s">
        <v>424</v>
      </c>
      <c r="B172" s="594"/>
      <c r="C172" s="594"/>
      <c r="D172" s="3"/>
      <c r="E172" s="179">
        <f>(PBW!E172)</f>
        <v>0</v>
      </c>
      <c r="F172" s="182"/>
      <c r="G172" s="5"/>
      <c r="H172" s="3"/>
    </row>
    <row r="173" spans="1:8" ht="13" thickBot="1">
      <c r="A173" s="5"/>
      <c r="B173" s="5"/>
      <c r="C173" s="5"/>
      <c r="D173" s="5"/>
      <c r="E173" s="5"/>
      <c r="F173" s="5"/>
      <c r="G173" s="5"/>
      <c r="H173" s="3"/>
    </row>
    <row r="174" spans="1:8" ht="13" thickBot="1">
      <c r="A174" s="206" t="s">
        <v>45</v>
      </c>
      <c r="B174" s="207"/>
      <c r="C174" s="207"/>
      <c r="D174" s="207"/>
      <c r="E174" s="207"/>
      <c r="F174" s="206"/>
      <c r="G174" s="208"/>
      <c r="H174" s="226">
        <f>ROUND(SUM($H$124,$H$137,$H$142,$H$160,$H$162,$H$164),-3)</f>
        <v>0</v>
      </c>
    </row>
    <row r="175" spans="1:8" ht="5.75" customHeight="1">
      <c r="A175" s="11"/>
      <c r="B175" s="11"/>
      <c r="C175" s="11"/>
      <c r="D175" s="11"/>
      <c r="E175" s="11"/>
      <c r="F175" s="11"/>
      <c r="G175" s="11"/>
      <c r="H175" s="5"/>
    </row>
    <row r="176" spans="1:8">
      <c r="A176" s="5"/>
      <c r="B176" s="5"/>
      <c r="C176" s="32">
        <f>IF(ISERR(ROUND($H$122/($B$9+$B$13),0)),0,ROUND($H$122/($B$9+$B$13),0))</f>
        <v>0</v>
      </c>
      <c r="D176" s="23" t="s">
        <v>55</v>
      </c>
      <c r="E176" s="5"/>
      <c r="F176" s="5"/>
      <c r="G176" s="5"/>
      <c r="H176" s="5"/>
    </row>
    <row r="177" spans="1:8">
      <c r="A177" s="5"/>
      <c r="B177" s="5"/>
      <c r="C177" s="32">
        <f>IF(ISERR(ROUND($H$122/($B$10+$B$13),0)),0,ROUND($H$122/($B$10+$B$13),0))</f>
        <v>0</v>
      </c>
      <c r="D177" s="23" t="s">
        <v>56</v>
      </c>
      <c r="E177" s="5"/>
      <c r="F177" s="5"/>
      <c r="G177" s="5"/>
      <c r="H177" s="5"/>
    </row>
    <row r="178" spans="1:8">
      <c r="A178" s="5"/>
      <c r="B178" s="5"/>
      <c r="C178" s="32">
        <f>IF(ISERR(ROUND($H$174/($B$9+$B$13),0)),0,ROUND($H$174/($B$9+$B$13),0))</f>
        <v>0</v>
      </c>
      <c r="D178" s="23" t="s">
        <v>54</v>
      </c>
      <c r="E178" s="5"/>
      <c r="F178" s="5"/>
      <c r="G178" s="5"/>
      <c r="H178" s="5"/>
    </row>
    <row r="179" spans="1:8">
      <c r="A179" s="5"/>
      <c r="B179" s="5"/>
      <c r="C179" s="32">
        <f>IF(ISERR(ROUND($H$174/($B$10+$B$13),0)),0,ROUND($H$174/($B$10+$B$13),0))</f>
        <v>0</v>
      </c>
      <c r="D179" s="23" t="s">
        <v>53</v>
      </c>
      <c r="E179" s="5"/>
      <c r="F179" s="5"/>
      <c r="G179" s="5"/>
      <c r="H179" s="5"/>
    </row>
    <row r="180" spans="1:8" ht="5.75" customHeight="1">
      <c r="A180" s="5"/>
      <c r="B180" s="5"/>
      <c r="C180" s="32"/>
      <c r="D180" s="23"/>
      <c r="E180" s="5"/>
      <c r="F180" s="5"/>
      <c r="G180" s="5"/>
      <c r="H180" s="5"/>
    </row>
    <row r="181" spans="1:8">
      <c r="A181" s="206" t="s">
        <v>46</v>
      </c>
      <c r="B181" s="129"/>
      <c r="C181" s="129"/>
      <c r="D181" s="129"/>
      <c r="E181" s="129"/>
      <c r="F181" s="129"/>
      <c r="G181" s="129"/>
      <c r="H181" s="5"/>
    </row>
    <row r="182" spans="1:8">
      <c r="A182" s="183" t="str">
        <f>IF(ISBLANK(PBW!A182),"",PBW!A182)</f>
        <v>X</v>
      </c>
      <c r="B182" s="5"/>
      <c r="C182" s="5"/>
      <c r="D182" s="5"/>
      <c r="E182" s="5"/>
      <c r="F182" s="5"/>
      <c r="G182" s="5"/>
      <c r="H182" s="5"/>
    </row>
    <row r="183" spans="1:8">
      <c r="A183" s="183" t="str">
        <f>IF(ISBLANK(PBW!A183),"",PBW!A183)</f>
        <v>X</v>
      </c>
      <c r="B183" s="5"/>
      <c r="C183" s="5"/>
      <c r="D183" s="5"/>
      <c r="E183" s="5"/>
      <c r="F183" s="5"/>
      <c r="G183" s="5"/>
      <c r="H183" s="5"/>
    </row>
    <row r="184" spans="1:8">
      <c r="A184" s="183" t="str">
        <f>IF(ISBLANK(PBW!A184),"",PBW!A184)</f>
        <v>X</v>
      </c>
      <c r="B184" s="5"/>
      <c r="C184" s="5"/>
      <c r="D184" s="5"/>
      <c r="E184" s="5"/>
      <c r="F184" s="5"/>
      <c r="G184" s="5"/>
      <c r="H184" s="5"/>
    </row>
    <row r="185" spans="1:8">
      <c r="A185" s="183" t="str">
        <f>IF(ISBLANK(PBW!A185),"",PBW!A185)</f>
        <v>X</v>
      </c>
      <c r="B185" s="5"/>
      <c r="C185" s="5"/>
      <c r="D185" s="5"/>
      <c r="E185" s="5"/>
      <c r="F185" s="5"/>
      <c r="G185" s="5"/>
      <c r="H185" s="5"/>
    </row>
    <row r="186" spans="1:8">
      <c r="A186" s="183" t="str">
        <f>IF(ISBLANK(PBW!A186),"",PBW!A186)</f>
        <v>X</v>
      </c>
      <c r="B186" s="5"/>
      <c r="C186" s="5"/>
      <c r="D186" s="5"/>
      <c r="E186" s="5"/>
      <c r="F186" s="5"/>
      <c r="G186" s="5"/>
      <c r="H186" s="5"/>
    </row>
  </sheetData>
  <sheetProtection algorithmName="SHA-512" hashValue="jryDm7hxsuL9CxJponRWGAGtlL628cH1V0rm3vbMQjd1TPzBnzvXW4VOeG0j533MQ8zTp02TTTVOGHa2YJV5qA==" saltValue="4xElFVZ3MC+PS0HIFTsKKg==" spinCount="100000" sheet="1" objects="1" scenarios="1"/>
  <mergeCells count="72">
    <mergeCell ref="B51:C51"/>
    <mergeCell ref="B3:E3"/>
    <mergeCell ref="B41:C41"/>
    <mergeCell ref="B42:C42"/>
    <mergeCell ref="B43:C43"/>
    <mergeCell ref="B44:C44"/>
    <mergeCell ref="B46:C46"/>
    <mergeCell ref="B47:C47"/>
    <mergeCell ref="B48:C48"/>
    <mergeCell ref="B49:C49"/>
    <mergeCell ref="C4:E8"/>
    <mergeCell ref="B73:D73"/>
    <mergeCell ref="B52:C52"/>
    <mergeCell ref="B53:C53"/>
    <mergeCell ref="B55:C55"/>
    <mergeCell ref="B56:C56"/>
    <mergeCell ref="B57:C57"/>
    <mergeCell ref="B66:D66"/>
    <mergeCell ref="B67:D67"/>
    <mergeCell ref="A69:G69"/>
    <mergeCell ref="B70:D70"/>
    <mergeCell ref="B71:D71"/>
    <mergeCell ref="B72:D72"/>
    <mergeCell ref="B85:D85"/>
    <mergeCell ref="B74:D74"/>
    <mergeCell ref="B75:D75"/>
    <mergeCell ref="B76:D76"/>
    <mergeCell ref="B77:D77"/>
    <mergeCell ref="B78:D78"/>
    <mergeCell ref="B79:D79"/>
    <mergeCell ref="B80:D80"/>
    <mergeCell ref="B81:D81"/>
    <mergeCell ref="B82:D82"/>
    <mergeCell ref="B83:D83"/>
    <mergeCell ref="B84:D84"/>
    <mergeCell ref="B97:D97"/>
    <mergeCell ref="B86:D86"/>
    <mergeCell ref="B87:D87"/>
    <mergeCell ref="B88:D88"/>
    <mergeCell ref="B89:D89"/>
    <mergeCell ref="B90:D90"/>
    <mergeCell ref="B91:D91"/>
    <mergeCell ref="B92:D92"/>
    <mergeCell ref="B93:D93"/>
    <mergeCell ref="B94:D94"/>
    <mergeCell ref="B95:D95"/>
    <mergeCell ref="B96:D96"/>
    <mergeCell ref="B98:D98"/>
    <mergeCell ref="B99:D99"/>
    <mergeCell ref="B100:D100"/>
    <mergeCell ref="B101:D101"/>
    <mergeCell ref="B102:D102"/>
    <mergeCell ref="B103:D103"/>
    <mergeCell ref="A104:G104"/>
    <mergeCell ref="B105:D105"/>
    <mergeCell ref="A106:G106"/>
    <mergeCell ref="B107:D107"/>
    <mergeCell ref="B108:D108"/>
    <mergeCell ref="B109:D109"/>
    <mergeCell ref="B110:D110"/>
    <mergeCell ref="B111:D111"/>
    <mergeCell ref="B112:D112"/>
    <mergeCell ref="A113:G113"/>
    <mergeCell ref="A149:C149"/>
    <mergeCell ref="A150:C150"/>
    <mergeCell ref="A171:C171"/>
    <mergeCell ref="A172:C172"/>
    <mergeCell ref="A151:C151"/>
    <mergeCell ref="A156:C156"/>
    <mergeCell ref="A157:C157"/>
    <mergeCell ref="A158:C158"/>
    <mergeCell ref="A170:C170"/>
  </mergeCells>
  <conditionalFormatting sqref="B5">
    <cfRule type="cellIs" dxfId="44" priority="7" stopIfTrue="1" operator="equal">
      <formula>"AA"</formula>
    </cfRule>
    <cfRule type="cellIs" dxfId="43" priority="11" operator="equal">
      <formula>"P&amp;D"</formula>
    </cfRule>
    <cfRule type="cellIs" dxfId="42" priority="10" stopIfTrue="1" operator="equal">
      <formula>"MP"</formula>
    </cfRule>
    <cfRule type="cellIs" dxfId="41" priority="9" stopIfTrue="1" operator="equal">
      <formula>"MFR"</formula>
    </cfRule>
    <cfRule type="cellIs" dxfId="40" priority="8" stopIfTrue="1" operator="equal">
      <formula>"IS"</formula>
    </cfRule>
    <cfRule type="cellIs" dxfId="39" priority="12" operator="equal">
      <formula>"SP"</formula>
    </cfRule>
  </conditionalFormatting>
  <conditionalFormatting sqref="E41">
    <cfRule type="cellIs" dxfId="38" priority="40" operator="lessThan">
      <formula>$F$41</formula>
    </cfRule>
    <cfRule type="cellIs" dxfId="37" priority="41" operator="greaterThan">
      <formula>$F$41</formula>
    </cfRule>
  </conditionalFormatting>
  <conditionalFormatting sqref="E42">
    <cfRule type="cellIs" dxfId="36" priority="38" operator="lessThan">
      <formula>$F$42</formula>
    </cfRule>
    <cfRule type="cellIs" dxfId="35" priority="39" operator="greaterThan">
      <formula>$F$42</formula>
    </cfRule>
  </conditionalFormatting>
  <conditionalFormatting sqref="E43">
    <cfRule type="cellIs" dxfId="34" priority="36" operator="lessThan">
      <formula>$F$43</formula>
    </cfRule>
    <cfRule type="cellIs" dxfId="33" priority="37" operator="greaterThan">
      <formula>$F$43</formula>
    </cfRule>
  </conditionalFormatting>
  <conditionalFormatting sqref="E44">
    <cfRule type="cellIs" dxfId="32" priority="35" operator="greaterThan">
      <formula>$F$44</formula>
    </cfRule>
    <cfRule type="cellIs" dxfId="31" priority="34" operator="lessThan">
      <formula>$F$44</formula>
    </cfRule>
  </conditionalFormatting>
  <conditionalFormatting sqref="E46">
    <cfRule type="cellIs" dxfId="30" priority="33" operator="greaterThan">
      <formula>$F$46</formula>
    </cfRule>
    <cfRule type="cellIs" dxfId="29" priority="32" operator="lessThan">
      <formula>$F$46</formula>
    </cfRule>
  </conditionalFormatting>
  <conditionalFormatting sqref="E47">
    <cfRule type="cellIs" dxfId="28" priority="31" operator="greaterThan">
      <formula>$F$47</formula>
    </cfRule>
    <cfRule type="cellIs" dxfId="27" priority="30" operator="lessThan">
      <formula>$F$47</formula>
    </cfRule>
  </conditionalFormatting>
  <conditionalFormatting sqref="E48">
    <cfRule type="cellIs" dxfId="26" priority="28" operator="lessThan">
      <formula>$F$48</formula>
    </cfRule>
    <cfRule type="cellIs" dxfId="25" priority="29" operator="greaterThan">
      <formula>$F$48</formula>
    </cfRule>
  </conditionalFormatting>
  <conditionalFormatting sqref="E49">
    <cfRule type="cellIs" dxfId="24" priority="27" operator="greaterThan">
      <formula>$F$49</formula>
    </cfRule>
    <cfRule type="cellIs" dxfId="23" priority="26" operator="lessThan">
      <formula>$F$49</formula>
    </cfRule>
  </conditionalFormatting>
  <conditionalFormatting sqref="E51">
    <cfRule type="cellIs" dxfId="22" priority="25" operator="greaterThan">
      <formula>$F$51</formula>
    </cfRule>
    <cfRule type="cellIs" dxfId="21" priority="24" operator="lessThan">
      <formula>$F$51</formula>
    </cfRule>
  </conditionalFormatting>
  <conditionalFormatting sqref="E52">
    <cfRule type="cellIs" dxfId="20" priority="22" operator="lessThan">
      <formula>$F$52</formula>
    </cfRule>
    <cfRule type="cellIs" dxfId="19" priority="23" operator="greaterThan">
      <formula>$F$52</formula>
    </cfRule>
  </conditionalFormatting>
  <conditionalFormatting sqref="E53">
    <cfRule type="cellIs" dxfId="18" priority="21" operator="greaterThan">
      <formula>$F$53</formula>
    </cfRule>
    <cfRule type="cellIs" dxfId="17" priority="20" operator="lessThan">
      <formula>$F$53</formula>
    </cfRule>
  </conditionalFormatting>
  <conditionalFormatting sqref="E55">
    <cfRule type="cellIs" dxfId="16" priority="19" operator="greaterThan">
      <formula>$F$55</formula>
    </cfRule>
    <cfRule type="cellIs" dxfId="15" priority="18" operator="lessThan">
      <formula>$F$55</formula>
    </cfRule>
  </conditionalFormatting>
  <conditionalFormatting sqref="E56">
    <cfRule type="cellIs" dxfId="14" priority="17" operator="greaterThan">
      <formula>$F$56</formula>
    </cfRule>
    <cfRule type="cellIs" dxfId="13" priority="16" operator="lessThan">
      <formula>$F$56</formula>
    </cfRule>
  </conditionalFormatting>
  <conditionalFormatting sqref="E57">
    <cfRule type="cellIs" dxfId="12" priority="15" operator="greaterThan">
      <formula>$F$57</formula>
    </cfRule>
    <cfRule type="cellIs" dxfId="11" priority="14" operator="lessThan">
      <formula>$F$57</formula>
    </cfRule>
  </conditionalFormatting>
  <conditionalFormatting sqref="H10">
    <cfRule type="cellIs" dxfId="10" priority="42" operator="lessThan">
      <formula>$H$9</formula>
    </cfRule>
  </conditionalFormatting>
  <conditionalFormatting sqref="H12">
    <cfRule type="cellIs" dxfId="9" priority="45" operator="equal">
      <formula>$H$11</formula>
    </cfRule>
    <cfRule type="cellIs" dxfId="8" priority="44" operator="greaterThan">
      <formula>$H$11</formula>
    </cfRule>
    <cfRule type="cellIs" dxfId="7" priority="43" operator="lessThan">
      <formula>$H$11</formula>
    </cfRule>
  </conditionalFormatting>
  <conditionalFormatting sqref="H14">
    <cfRule type="cellIs" dxfId="6" priority="5" operator="equal">
      <formula>"P&amp;D"</formula>
    </cfRule>
    <cfRule type="cellIs" dxfId="5" priority="4" stopIfTrue="1" operator="equal">
      <formula>"MP"</formula>
    </cfRule>
    <cfRule type="cellIs" dxfId="4" priority="1" stopIfTrue="1" operator="equal">
      <formula>"AA"</formula>
    </cfRule>
    <cfRule type="cellIs" dxfId="3" priority="2" stopIfTrue="1" operator="equal">
      <formula>"IS"</formula>
    </cfRule>
    <cfRule type="cellIs" dxfId="2" priority="6" operator="equal">
      <formula>"SP"</formula>
    </cfRule>
    <cfRule type="cellIs" dxfId="1" priority="3" stopIfTrue="1" operator="equal">
      <formula>"MFR"</formula>
    </cfRule>
  </conditionalFormatting>
  <conditionalFormatting sqref="H59">
    <cfRule type="expression" dxfId="0" priority="13">
      <formula>($G$59="ERROR?")</formula>
    </cfRule>
  </conditionalFormatting>
  <printOptions horizontalCentered="1"/>
  <pageMargins left="0.25" right="0.25" top="0.25" bottom="0.5" header="0.25" footer="0.25"/>
  <pageSetup orientation="portrait" horizontalDpi="4294967292" verticalDpi="4294967292" r:id="rId1"/>
  <headerFooter>
    <oddFooter>&amp;L&amp;"Arial Narrow,Regular"&amp;8&amp;K000000&amp;D&amp;C&amp;"Arial Narrow,Regular"&amp;8&amp;K000000PBW (No Inflation)&amp;R&amp;"Arial Narrow,Regular"&amp;8&amp;K000000&amp;P of &amp;N</oddFooter>
  </headerFooter>
  <rowBreaks count="1" manualBreakCount="1">
    <brk id="61" max="16383" man="1"/>
  </rowBreaks>
  <ignoredErrors>
    <ignoredError sqref="H14 B5"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0624F-AA68-2A48-BD97-891935BC0192}">
  <sheetPr>
    <tabColor rgb="FF0070C0"/>
  </sheetPr>
  <dimension ref="A1:AK103"/>
  <sheetViews>
    <sheetView showGridLines="0" zoomScaleNormal="100" workbookViewId="0">
      <selection activeCell="I14" sqref="I14"/>
    </sheetView>
  </sheetViews>
  <sheetFormatPr baseColWidth="10" defaultColWidth="10.796875" defaultRowHeight="16"/>
  <cols>
    <col min="1" max="36" width="11" style="315" customWidth="1"/>
    <col min="37" max="16384" width="10.796875" style="315"/>
  </cols>
  <sheetData>
    <row r="1" spans="1:37">
      <c r="A1" s="312"/>
      <c r="B1" s="313" t="s">
        <v>300</v>
      </c>
      <c r="C1" s="313" t="s">
        <v>301</v>
      </c>
      <c r="D1" s="312"/>
      <c r="E1" s="313" t="s">
        <v>302</v>
      </c>
      <c r="F1" s="313" t="s">
        <v>303</v>
      </c>
      <c r="G1" s="312"/>
      <c r="H1" s="314"/>
      <c r="I1" s="314"/>
      <c r="J1" s="312"/>
      <c r="K1" s="314"/>
      <c r="L1" s="314"/>
      <c r="M1" s="312"/>
      <c r="N1" s="312"/>
      <c r="O1" s="312"/>
      <c r="P1" s="312"/>
      <c r="Q1" s="312"/>
      <c r="R1" s="312"/>
      <c r="S1" s="312"/>
      <c r="T1" s="312"/>
      <c r="U1" s="312"/>
      <c r="V1" s="312"/>
      <c r="W1" s="312"/>
      <c r="X1" s="312"/>
      <c r="Y1" s="312"/>
      <c r="Z1" s="312"/>
    </row>
    <row r="2" spans="1:37">
      <c r="A2" s="316" t="s">
        <v>304</v>
      </c>
      <c r="B2" s="317">
        <f>YEAR($B$5)</f>
        <v>2022</v>
      </c>
      <c r="C2" s="317">
        <f>YEAR($C$5)</f>
        <v>2023</v>
      </c>
      <c r="D2" s="318"/>
      <c r="E2" s="317">
        <f>YEAR($E$5)</f>
        <v>2024</v>
      </c>
      <c r="F2" s="317">
        <f>YEAR($F$5)</f>
        <v>2070</v>
      </c>
      <c r="G2" s="312"/>
      <c r="H2" s="312"/>
      <c r="I2" s="312"/>
      <c r="J2" s="312"/>
      <c r="K2" s="312"/>
      <c r="L2" s="312"/>
      <c r="M2" s="312"/>
      <c r="N2" s="312"/>
      <c r="O2" s="312"/>
      <c r="P2" s="312"/>
      <c r="Q2" s="312"/>
      <c r="R2" s="312"/>
      <c r="S2" s="312"/>
      <c r="T2" s="312"/>
      <c r="U2" s="312"/>
      <c r="V2" s="312"/>
      <c r="W2" s="312"/>
      <c r="X2" s="312"/>
      <c r="Y2" s="312"/>
      <c r="Z2" s="312"/>
    </row>
    <row r="3" spans="1:37">
      <c r="A3" s="316" t="s">
        <v>305</v>
      </c>
      <c r="B3" s="319">
        <f>MONTH($B$5)</f>
        <v>7</v>
      </c>
      <c r="C3" s="319">
        <f>MONTH($C$5)</f>
        <v>12</v>
      </c>
      <c r="D3" s="318"/>
      <c r="E3" s="319">
        <f>MONTH($E$5)</f>
        <v>1</v>
      </c>
      <c r="F3" s="319">
        <f>MONTH($F$5)</f>
        <v>12</v>
      </c>
      <c r="G3" s="312"/>
      <c r="H3" s="312"/>
      <c r="I3" s="312"/>
      <c r="J3" s="312"/>
      <c r="K3" s="312"/>
      <c r="L3" s="312"/>
      <c r="M3" s="312"/>
      <c r="N3" s="312"/>
      <c r="O3" s="312"/>
      <c r="P3" s="312"/>
      <c r="Q3" s="312"/>
      <c r="R3" s="312"/>
      <c r="S3" s="312"/>
      <c r="T3" s="312"/>
      <c r="U3" s="312"/>
      <c r="V3" s="312"/>
      <c r="W3" s="312"/>
      <c r="X3" s="312"/>
      <c r="Y3" s="312"/>
      <c r="Z3" s="312"/>
    </row>
    <row r="4" spans="1:37">
      <c r="A4" s="316" t="s">
        <v>306</v>
      </c>
      <c r="B4" s="320" t="str">
        <f>$B$2&amp;TEXT($B$3,"00")</f>
        <v>202207</v>
      </c>
      <c r="C4" s="320" t="str">
        <f>$C$2&amp;TEXT($C$3,"00")</f>
        <v>202312</v>
      </c>
      <c r="D4" s="321"/>
      <c r="E4" s="320" t="str">
        <f>$E$2&amp;TEXT($E$3,"00")</f>
        <v>202401</v>
      </c>
      <c r="F4" s="320" t="str">
        <f>$F$2&amp;TEXT($F$3,"00")</f>
        <v>207012</v>
      </c>
      <c r="G4" s="312"/>
      <c r="H4" s="312"/>
      <c r="I4" s="312"/>
      <c r="J4" s="312"/>
      <c r="K4" s="312"/>
      <c r="L4" s="312"/>
      <c r="M4" s="312"/>
      <c r="N4" s="312"/>
      <c r="O4" s="312"/>
      <c r="P4" s="312"/>
      <c r="Q4" s="312"/>
      <c r="R4" s="312"/>
      <c r="S4" s="312"/>
      <c r="T4" s="312"/>
      <c r="U4" s="312"/>
      <c r="V4" s="312"/>
      <c r="W4" s="312"/>
      <c r="X4" s="312"/>
      <c r="Y4" s="312"/>
      <c r="Z4" s="312"/>
    </row>
    <row r="5" spans="1:37">
      <c r="A5" s="316" t="s">
        <v>307</v>
      </c>
      <c r="B5" s="310">
        <v>44743</v>
      </c>
      <c r="C5" s="310">
        <v>45261</v>
      </c>
      <c r="D5" s="321"/>
      <c r="E5" s="310">
        <f>EDATE($C$5,1)</f>
        <v>45292</v>
      </c>
      <c r="F5" s="310">
        <v>62428</v>
      </c>
      <c r="G5" s="312"/>
      <c r="H5" s="312"/>
      <c r="I5" s="312"/>
      <c r="J5" s="312"/>
      <c r="K5" s="312"/>
      <c r="L5" s="312"/>
      <c r="M5" s="312"/>
      <c r="N5" s="312"/>
      <c r="O5" s="312"/>
      <c r="P5" s="312"/>
      <c r="Q5" s="312"/>
      <c r="R5" s="312"/>
      <c r="S5" s="312"/>
      <c r="T5" s="312"/>
      <c r="U5" s="312"/>
      <c r="V5" s="312"/>
      <c r="W5" s="312"/>
      <c r="X5" s="312"/>
      <c r="Y5" s="312"/>
      <c r="Z5" s="312"/>
    </row>
    <row r="6" spans="1:37">
      <c r="A6" s="316"/>
      <c r="B6" s="322" t="s">
        <v>308</v>
      </c>
      <c r="C6" s="322" t="s">
        <v>309</v>
      </c>
      <c r="D6" s="321"/>
      <c r="E6" s="322" t="s">
        <v>310</v>
      </c>
      <c r="F6" s="322" t="s">
        <v>311</v>
      </c>
      <c r="G6" s="312"/>
      <c r="H6" s="312"/>
      <c r="I6" s="312"/>
      <c r="J6" s="312"/>
      <c r="K6" s="312"/>
      <c r="L6" s="312"/>
      <c r="M6" s="312"/>
      <c r="N6" s="312"/>
      <c r="O6" s="312"/>
      <c r="P6" s="312"/>
      <c r="Q6" s="312"/>
      <c r="R6" s="312"/>
      <c r="S6" s="312"/>
      <c r="T6" s="312"/>
      <c r="U6" s="312"/>
      <c r="V6" s="312"/>
      <c r="W6" s="312"/>
      <c r="X6" s="312"/>
      <c r="Y6" s="312"/>
      <c r="Z6" s="312"/>
    </row>
    <row r="7" spans="1:37">
      <c r="A7" s="316" t="s">
        <v>312</v>
      </c>
      <c r="B7" s="307">
        <v>0.16</v>
      </c>
      <c r="C7" s="307">
        <f>($B$7/12)</f>
        <v>1.3333333333333334E-2</v>
      </c>
      <c r="D7" s="312"/>
      <c r="E7" s="307">
        <v>0.06</v>
      </c>
      <c r="F7" s="307">
        <f>($E$7/12)</f>
        <v>5.0000000000000001E-3</v>
      </c>
      <c r="G7" s="312"/>
      <c r="H7" s="312"/>
      <c r="I7" s="312"/>
      <c r="J7" s="312"/>
      <c r="K7" s="312"/>
      <c r="L7" s="312"/>
      <c r="M7" s="312"/>
      <c r="N7" s="312"/>
      <c r="O7" s="312"/>
      <c r="P7" s="312"/>
      <c r="Q7" s="312"/>
      <c r="R7" s="312"/>
      <c r="S7" s="312"/>
      <c r="T7" s="312"/>
      <c r="U7" s="312"/>
      <c r="V7" s="312"/>
      <c r="W7" s="312"/>
      <c r="X7" s="312"/>
      <c r="Y7" s="312"/>
      <c r="Z7" s="312"/>
    </row>
    <row r="8" spans="1:37">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row>
    <row r="9" spans="1:37">
      <c r="A9" s="312"/>
      <c r="B9" s="611" t="s">
        <v>361</v>
      </c>
      <c r="C9" s="611"/>
      <c r="D9" s="611"/>
      <c r="E9" s="611"/>
      <c r="F9" s="611"/>
      <c r="G9" s="312"/>
      <c r="H9" s="612" t="s">
        <v>323</v>
      </c>
      <c r="I9" s="612"/>
      <c r="J9" s="612"/>
      <c r="K9" s="612"/>
      <c r="L9" s="612"/>
      <c r="M9" s="312"/>
      <c r="N9" s="312"/>
      <c r="O9" s="613" t="s">
        <v>358</v>
      </c>
      <c r="P9" s="613"/>
      <c r="Q9" s="613"/>
      <c r="R9" s="613"/>
      <c r="S9" s="613"/>
      <c r="T9" s="312"/>
      <c r="U9" s="613" t="s">
        <v>357</v>
      </c>
      <c r="V9" s="613"/>
      <c r="W9" s="613"/>
      <c r="X9" s="613"/>
      <c r="Y9" s="613"/>
      <c r="Z9" s="312"/>
      <c r="AA9" s="614" t="s">
        <v>359</v>
      </c>
      <c r="AB9" s="614"/>
      <c r="AC9" s="614"/>
      <c r="AD9" s="614"/>
      <c r="AE9" s="614"/>
      <c r="AG9" s="610" t="s">
        <v>360</v>
      </c>
      <c r="AH9" s="610"/>
      <c r="AI9" s="610"/>
      <c r="AJ9" s="610"/>
      <c r="AK9" s="610"/>
    </row>
    <row r="10" spans="1:37">
      <c r="A10" s="312"/>
      <c r="B10" s="312"/>
      <c r="C10" s="382" t="s">
        <v>337</v>
      </c>
      <c r="D10" s="382" t="s">
        <v>338</v>
      </c>
      <c r="E10" s="382" t="s">
        <v>315</v>
      </c>
      <c r="F10" s="382" t="s">
        <v>316</v>
      </c>
      <c r="G10" s="312"/>
      <c r="H10" s="312"/>
      <c r="I10" s="313" t="s">
        <v>313</v>
      </c>
      <c r="J10" s="313" t="s">
        <v>314</v>
      </c>
      <c r="K10" s="313" t="s">
        <v>315</v>
      </c>
      <c r="L10" s="313" t="s">
        <v>316</v>
      </c>
      <c r="M10" s="312"/>
      <c r="N10" s="312"/>
      <c r="O10" s="312"/>
      <c r="P10" s="370" t="s">
        <v>318</v>
      </c>
      <c r="Q10" s="370" t="s">
        <v>319</v>
      </c>
      <c r="R10" s="370" t="s">
        <v>315</v>
      </c>
      <c r="S10" s="370" t="s">
        <v>316</v>
      </c>
      <c r="T10" s="312"/>
      <c r="U10" s="312"/>
      <c r="V10" s="370" t="s">
        <v>320</v>
      </c>
      <c r="W10" s="370" t="s">
        <v>319</v>
      </c>
      <c r="X10" s="370" t="s">
        <v>315</v>
      </c>
      <c r="Y10" s="370" t="s">
        <v>316</v>
      </c>
      <c r="Z10" s="312"/>
      <c r="AA10" s="312"/>
      <c r="AB10" s="372" t="s">
        <v>322</v>
      </c>
      <c r="AC10" s="372" t="s">
        <v>319</v>
      </c>
      <c r="AD10" s="372" t="s">
        <v>315</v>
      </c>
      <c r="AE10" s="372" t="s">
        <v>316</v>
      </c>
      <c r="AG10" s="312"/>
      <c r="AH10" s="360" t="s">
        <v>355</v>
      </c>
      <c r="AI10" s="360" t="s">
        <v>356</v>
      </c>
      <c r="AJ10" s="360" t="s">
        <v>315</v>
      </c>
      <c r="AK10" s="360" t="s">
        <v>316</v>
      </c>
    </row>
    <row r="11" spans="1:37">
      <c r="A11" s="312"/>
      <c r="B11" s="383" t="s">
        <v>304</v>
      </c>
      <c r="C11" s="384">
        <f>YEAR($C$14)</f>
        <v>2024</v>
      </c>
      <c r="D11" s="384">
        <f>YEAR($D$14)</f>
        <v>2029</v>
      </c>
      <c r="E11" s="385"/>
      <c r="F11" s="385"/>
      <c r="G11" s="318"/>
      <c r="H11" s="323" t="s">
        <v>304</v>
      </c>
      <c r="I11" s="317">
        <f>YEAR($I$14)</f>
        <v>2024</v>
      </c>
      <c r="J11" s="317">
        <f>YEAR($J$14)</f>
        <v>2029</v>
      </c>
      <c r="K11" s="312"/>
      <c r="L11" s="312"/>
      <c r="M11" s="312"/>
      <c r="N11" s="312"/>
      <c r="O11" s="371" t="s">
        <v>304</v>
      </c>
      <c r="P11" s="362">
        <f>YEAR($P$14)</f>
        <v>2011</v>
      </c>
      <c r="Q11" s="362">
        <f>YEAR($Q$14)</f>
        <v>2024</v>
      </c>
      <c r="R11" s="363"/>
      <c r="S11" s="363"/>
      <c r="T11" s="312"/>
      <c r="U11" s="371" t="s">
        <v>304</v>
      </c>
      <c r="V11" s="362">
        <f>YEAR($V$14)</f>
        <v>2018</v>
      </c>
      <c r="W11" s="362">
        <f>YEAR($W$14)</f>
        <v>2024</v>
      </c>
      <c r="X11" s="363"/>
      <c r="Y11" s="363"/>
      <c r="Z11" s="312"/>
      <c r="AA11" s="373" t="s">
        <v>304</v>
      </c>
      <c r="AB11" s="374">
        <f>YEAR($AB$14)</f>
        <v>2022</v>
      </c>
      <c r="AC11" s="374">
        <f>YEAR($AC$14)</f>
        <v>2024</v>
      </c>
      <c r="AD11" s="375"/>
      <c r="AE11" s="375"/>
      <c r="AG11" s="361" t="s">
        <v>304</v>
      </c>
      <c r="AH11" s="352">
        <f>YEAR($AH$14)</f>
        <v>2024</v>
      </c>
      <c r="AI11" s="352">
        <f>YEAR($AI$14)</f>
        <v>2029</v>
      </c>
      <c r="AJ11" s="353"/>
      <c r="AK11" s="353"/>
    </row>
    <row r="12" spans="1:37">
      <c r="A12" s="312"/>
      <c r="B12" s="383" t="s">
        <v>305</v>
      </c>
      <c r="C12" s="386">
        <f>MONTH($C$14)</f>
        <v>3</v>
      </c>
      <c r="D12" s="386">
        <f>MONTH($D$14)</f>
        <v>7</v>
      </c>
      <c r="E12" s="385"/>
      <c r="F12" s="385"/>
      <c r="G12" s="318"/>
      <c r="H12" s="323" t="s">
        <v>305</v>
      </c>
      <c r="I12" s="319">
        <f>MONTH($I$14)</f>
        <v>1</v>
      </c>
      <c r="J12" s="319">
        <f>MONTH($J$14)</f>
        <v>7</v>
      </c>
      <c r="K12" s="312"/>
      <c r="L12" s="312"/>
      <c r="M12" s="312"/>
      <c r="N12" s="312"/>
      <c r="O12" s="371" t="s">
        <v>305</v>
      </c>
      <c r="P12" s="364">
        <f>MONTH($P$14)</f>
        <v>7</v>
      </c>
      <c r="Q12" s="364">
        <f>MONTH($Q$14)</f>
        <v>3</v>
      </c>
      <c r="R12" s="363"/>
      <c r="S12" s="363"/>
      <c r="T12" s="312"/>
      <c r="U12" s="371" t="s">
        <v>305</v>
      </c>
      <c r="V12" s="364">
        <f>MONTH($V$14)</f>
        <v>7</v>
      </c>
      <c r="W12" s="364">
        <f>MONTH($W$14)</f>
        <v>3</v>
      </c>
      <c r="X12" s="363"/>
      <c r="Y12" s="363"/>
      <c r="Z12" s="312"/>
      <c r="AA12" s="373" t="s">
        <v>305</v>
      </c>
      <c r="AB12" s="376">
        <f>MONTH($AB$14)</f>
        <v>12</v>
      </c>
      <c r="AC12" s="376">
        <f>MONTH($AC$14)</f>
        <v>3</v>
      </c>
      <c r="AD12" s="375"/>
      <c r="AE12" s="375"/>
      <c r="AG12" s="361" t="s">
        <v>305</v>
      </c>
      <c r="AH12" s="354">
        <f>MONTH($AH$14)</f>
        <v>3</v>
      </c>
      <c r="AI12" s="354">
        <f>MONTH($AI$14)</f>
        <v>7</v>
      </c>
      <c r="AJ12" s="353"/>
      <c r="AK12" s="353"/>
    </row>
    <row r="13" spans="1:37">
      <c r="A13" s="312"/>
      <c r="B13" s="383" t="s">
        <v>306</v>
      </c>
      <c r="C13" s="387" t="str">
        <f>$C$11&amp;TEXT($C$12,"00")</f>
        <v>202403</v>
      </c>
      <c r="D13" s="387" t="str">
        <f>$D$11&amp;TEXT($D$12,"00")</f>
        <v>202907</v>
      </c>
      <c r="E13" s="385"/>
      <c r="F13" s="385"/>
      <c r="G13" s="312"/>
      <c r="H13" s="316" t="s">
        <v>306</v>
      </c>
      <c r="I13" s="324" t="str">
        <f>$I$11&amp;TEXT($I$12,"00")</f>
        <v>202401</v>
      </c>
      <c r="J13" s="324" t="str">
        <f>$J$11&amp;TEXT($J$12,"00")</f>
        <v>202907</v>
      </c>
      <c r="K13" s="312"/>
      <c r="L13" s="312"/>
      <c r="M13" s="312"/>
      <c r="N13" s="312"/>
      <c r="O13" s="371" t="s">
        <v>306</v>
      </c>
      <c r="P13" s="365" t="str">
        <f>$P$11&amp;TEXT($P$12,"00")</f>
        <v>201107</v>
      </c>
      <c r="Q13" s="365" t="str">
        <f>$Q$11&amp;TEXT($Q$12,"00")</f>
        <v>202403</v>
      </c>
      <c r="R13" s="363"/>
      <c r="S13" s="363"/>
      <c r="T13" s="312"/>
      <c r="U13" s="371" t="s">
        <v>306</v>
      </c>
      <c r="V13" s="365" t="str">
        <f>$V$11&amp;TEXT($V$12,"00")</f>
        <v>201807</v>
      </c>
      <c r="W13" s="365" t="str">
        <f>$W$11&amp;TEXT($W$12,"00")</f>
        <v>202403</v>
      </c>
      <c r="X13" s="363"/>
      <c r="Y13" s="363"/>
      <c r="Z13" s="312"/>
      <c r="AA13" s="373" t="s">
        <v>306</v>
      </c>
      <c r="AB13" s="377" t="str">
        <f>$AB$11&amp;TEXT($AB$12,"00")</f>
        <v>202212</v>
      </c>
      <c r="AC13" s="377" t="str">
        <f>$AC$11&amp;TEXT($AC$12,"00")</f>
        <v>202403</v>
      </c>
      <c r="AD13" s="375"/>
      <c r="AE13" s="375"/>
      <c r="AG13" s="361" t="s">
        <v>306</v>
      </c>
      <c r="AH13" s="355" t="str">
        <f>$AH$11&amp;TEXT($AH$12,"00")</f>
        <v>202403</v>
      </c>
      <c r="AI13" s="355" t="str">
        <f>$AI$11&amp;TEXT($AI$12,"00")</f>
        <v>202907</v>
      </c>
      <c r="AJ13" s="353"/>
      <c r="AK13" s="353"/>
    </row>
    <row r="14" spans="1:37">
      <c r="A14" s="312"/>
      <c r="B14" s="383" t="s">
        <v>307</v>
      </c>
      <c r="C14" s="388">
        <f>(PBW!$H$9)</f>
        <v>45352</v>
      </c>
      <c r="D14" s="388">
        <f>(PBW!$H$10)</f>
        <v>47300</v>
      </c>
      <c r="E14" s="385"/>
      <c r="F14" s="385"/>
      <c r="G14" s="312"/>
      <c r="H14" s="316" t="s">
        <v>307</v>
      </c>
      <c r="I14" s="309">
        <v>45292</v>
      </c>
      <c r="J14" s="309">
        <f>($D$14)</f>
        <v>47300</v>
      </c>
      <c r="K14" s="312"/>
      <c r="L14" s="413">
        <f>($J$15/$I$15)</f>
        <v>1.3778986239873996</v>
      </c>
      <c r="M14" s="312"/>
      <c r="N14" s="312"/>
      <c r="O14" s="371" t="s">
        <v>307</v>
      </c>
      <c r="P14" s="366">
        <v>40725</v>
      </c>
      <c r="Q14" s="366">
        <f>($C$14)</f>
        <v>45352</v>
      </c>
      <c r="R14" s="363"/>
      <c r="S14" s="363"/>
      <c r="T14" s="312"/>
      <c r="U14" s="371" t="s">
        <v>307</v>
      </c>
      <c r="V14" s="366">
        <v>43282</v>
      </c>
      <c r="W14" s="366">
        <f>($C$14)</f>
        <v>45352</v>
      </c>
      <c r="X14" s="363"/>
      <c r="Y14" s="363"/>
      <c r="Z14" s="312"/>
      <c r="AA14" s="373" t="s">
        <v>307</v>
      </c>
      <c r="AB14" s="378">
        <v>44896</v>
      </c>
      <c r="AC14" s="378">
        <f>(LOOKUPS!$A$2)</f>
        <v>45352</v>
      </c>
      <c r="AD14" s="375"/>
      <c r="AE14" s="375"/>
      <c r="AG14" s="361" t="s">
        <v>307</v>
      </c>
      <c r="AH14" s="356">
        <f>('Quick Inflation Date Update'!$A$4)</f>
        <v>45352</v>
      </c>
      <c r="AI14" s="356">
        <f>('Quick Inflation Date Update'!$A$5)</f>
        <v>47300</v>
      </c>
      <c r="AJ14" s="353"/>
      <c r="AK14" s="353"/>
    </row>
    <row r="15" spans="1:37">
      <c r="A15" s="312"/>
      <c r="B15" s="383" t="s">
        <v>317</v>
      </c>
      <c r="C15" s="389">
        <f>INDEX($B$19:$M$99,MATCH(C$11,$A$19:$A$99,1),MATCH(C$12,$B$18:$M$18,1))</f>
        <v>8288.93</v>
      </c>
      <c r="D15" s="389">
        <f>INDEX($B$19:$M$99,MATCH(D$11,$A$19:$A$99,1),MATCH(D$12,$B$18:$M$18,1))</f>
        <v>11405.817660794259</v>
      </c>
      <c r="E15" s="390">
        <f>($D$15/$C$15)-1</f>
        <v>0.37603015839128306</v>
      </c>
      <c r="F15" s="391">
        <f>($D$15/$C$15)</f>
        <v>1.3760301583912831</v>
      </c>
      <c r="G15" s="312"/>
      <c r="H15" s="316" t="s">
        <v>317</v>
      </c>
      <c r="I15" s="325">
        <f>INDEX($B$19:$M$99,MATCH(I$11,$A$19:$A$99,1),MATCH(I$12,$B$18:$M$18,1))</f>
        <v>8277.69</v>
      </c>
      <c r="J15" s="325">
        <f>INDEX($B$19:$M$99,MATCH(J$11,$A$19:$A$99,1),MATCH(J$12,$B$18:$M$18,1))</f>
        <v>11405.817660794259</v>
      </c>
      <c r="K15" s="308">
        <f>($J$15/$I$15)-1</f>
        <v>0.3778986239873996</v>
      </c>
      <c r="L15" s="412">
        <f>($L$14)</f>
        <v>1.3778986239873996</v>
      </c>
      <c r="M15" s="312"/>
      <c r="N15" s="312"/>
      <c r="O15" s="371" t="s">
        <v>317</v>
      </c>
      <c r="P15" s="367">
        <f>INDEX($B$19:$M$99,MATCH(P$11,$A$19:$A$99,1),MATCH(P$12,$B$18:$M$18,1))</f>
        <v>5074</v>
      </c>
      <c r="Q15" s="367">
        <f>INDEX($B$19:$M$99,MATCH(Q$11,$A$19:$A$99,1),MATCH(Q$12,$B$18:$M$18,1))</f>
        <v>8288.93</v>
      </c>
      <c r="R15" s="368">
        <f>($Q$15/$P$15)-1</f>
        <v>0.63360859282617277</v>
      </c>
      <c r="S15" s="369">
        <f>($Q$15/$P$15)</f>
        <v>1.6336085928261728</v>
      </c>
      <c r="T15" s="312"/>
      <c r="U15" s="371" t="s">
        <v>317</v>
      </c>
      <c r="V15" s="367">
        <f>INDEX($B$19:$M$99,MATCH(V$11,$A$19:$A$99,1),MATCH(V$12,$B$18:$M$18,1))</f>
        <v>6042.91</v>
      </c>
      <c r="W15" s="367">
        <f>INDEX($B$19:$M$99,MATCH(W$11,$A$19:$A$99,1),MATCH(W$12,$B$18:$M$18,1))</f>
        <v>8288.93</v>
      </c>
      <c r="X15" s="368">
        <f>($W$15/$V$15)-1</f>
        <v>0.37167854560137426</v>
      </c>
      <c r="Y15" s="369">
        <f>($W$15/$V$15)</f>
        <v>1.3716785456013743</v>
      </c>
      <c r="Z15" s="312"/>
      <c r="AA15" s="373" t="s">
        <v>317</v>
      </c>
      <c r="AB15" s="379">
        <f>INDEX($B$19:$M$99,MATCH(AB$11,$A$19:$A$99,1),MATCH(AB$12,$B$18:$M$18,1))</f>
        <v>7971.96</v>
      </c>
      <c r="AC15" s="379">
        <f>INDEX($B$19:$M$99,MATCH(AC$11,$A$19:$A$99,1),MATCH(AC$12,$B$18:$M$18,1))</f>
        <v>8288.93</v>
      </c>
      <c r="AD15" s="380">
        <f>($AC$15/$AB$15)-1</f>
        <v>3.9760610941349528E-2</v>
      </c>
      <c r="AE15" s="381">
        <f>($AC$15/$AB$15)</f>
        <v>1.0397606109413495</v>
      </c>
      <c r="AG15" s="361" t="s">
        <v>317</v>
      </c>
      <c r="AH15" s="357">
        <f>INDEX($B$19:$M$99,MATCH(AH$11,$A$19:$A$99,1),MATCH(AH$12,$B$18:$M$18,1))</f>
        <v>8288.93</v>
      </c>
      <c r="AI15" s="357">
        <f>INDEX($B$19:$M$99,MATCH(AI$11,$A$19:$A$99,1),MATCH(AI$12,$B$18:$M$18,1))</f>
        <v>11405.817660794259</v>
      </c>
      <c r="AJ15" s="358">
        <f>($AI$15/$AH$15)-1</f>
        <v>0.37603015839128306</v>
      </c>
      <c r="AK15" s="359">
        <f>($AI$15/$AH$15)</f>
        <v>1.3760301583912831</v>
      </c>
    </row>
    <row r="16" spans="1:37">
      <c r="A16" s="312"/>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row>
    <row r="17" spans="1:26">
      <c r="A17" s="312"/>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row>
    <row r="18" spans="1:26">
      <c r="A18" s="326"/>
      <c r="B18" s="327">
        <v>1</v>
      </c>
      <c r="C18" s="327">
        <v>2</v>
      </c>
      <c r="D18" s="327">
        <v>3</v>
      </c>
      <c r="E18" s="327">
        <v>4</v>
      </c>
      <c r="F18" s="327">
        <v>5</v>
      </c>
      <c r="G18" s="327">
        <v>6</v>
      </c>
      <c r="H18" s="327">
        <v>7</v>
      </c>
      <c r="I18" s="327">
        <v>8</v>
      </c>
      <c r="J18" s="327">
        <v>9</v>
      </c>
      <c r="K18" s="327">
        <v>10</v>
      </c>
      <c r="L18" s="327">
        <v>11</v>
      </c>
      <c r="M18" s="327">
        <v>12</v>
      </c>
      <c r="N18" s="312"/>
      <c r="O18" s="327">
        <v>1</v>
      </c>
      <c r="P18" s="327">
        <v>2</v>
      </c>
      <c r="Q18" s="327">
        <v>3</v>
      </c>
      <c r="R18" s="327">
        <v>4</v>
      </c>
      <c r="S18" s="327">
        <v>5</v>
      </c>
      <c r="T18" s="327">
        <v>6</v>
      </c>
      <c r="U18" s="327">
        <v>7</v>
      </c>
      <c r="V18" s="327">
        <v>8</v>
      </c>
      <c r="W18" s="327">
        <v>9</v>
      </c>
      <c r="X18" s="327">
        <v>10</v>
      </c>
      <c r="Y18" s="327">
        <v>11</v>
      </c>
      <c r="Z18" s="327">
        <v>12</v>
      </c>
    </row>
    <row r="19" spans="1:26">
      <c r="A19" s="328">
        <v>1990</v>
      </c>
      <c r="B19" s="329">
        <v>2664</v>
      </c>
      <c r="C19" s="329">
        <v>2668</v>
      </c>
      <c r="D19" s="329">
        <v>2673</v>
      </c>
      <c r="E19" s="329">
        <v>2676</v>
      </c>
      <c r="F19" s="329">
        <v>2691</v>
      </c>
      <c r="G19" s="329">
        <v>2715</v>
      </c>
      <c r="H19" s="329">
        <v>2716</v>
      </c>
      <c r="I19" s="329">
        <v>2716</v>
      </c>
      <c r="J19" s="329">
        <v>2730</v>
      </c>
      <c r="K19" s="329">
        <v>2728</v>
      </c>
      <c r="L19" s="329">
        <v>2730</v>
      </c>
      <c r="M19" s="329">
        <v>2720</v>
      </c>
      <c r="N19" s="312"/>
      <c r="O19" s="330" t="str">
        <f>$A19&amp;TEXT(B$18,"00")</f>
        <v>199001</v>
      </c>
      <c r="P19" s="330" t="str">
        <f t="shared" ref="P19:Z34" si="0">$A19&amp;TEXT(C$18,"00")</f>
        <v>199002</v>
      </c>
      <c r="Q19" s="330" t="str">
        <f t="shared" si="0"/>
        <v>199003</v>
      </c>
      <c r="R19" s="330" t="str">
        <f t="shared" si="0"/>
        <v>199004</v>
      </c>
      <c r="S19" s="330" t="str">
        <f t="shared" si="0"/>
        <v>199005</v>
      </c>
      <c r="T19" s="330" t="str">
        <f t="shared" si="0"/>
        <v>199006</v>
      </c>
      <c r="U19" s="330" t="str">
        <f t="shared" si="0"/>
        <v>199007</v>
      </c>
      <c r="V19" s="330" t="str">
        <f t="shared" si="0"/>
        <v>199008</v>
      </c>
      <c r="W19" s="330" t="str">
        <f t="shared" si="0"/>
        <v>199009</v>
      </c>
      <c r="X19" s="330" t="str">
        <f t="shared" si="0"/>
        <v>199010</v>
      </c>
      <c r="Y19" s="330" t="str">
        <f t="shared" si="0"/>
        <v>199011</v>
      </c>
      <c r="Z19" s="330" t="str">
        <f t="shared" si="0"/>
        <v>199012</v>
      </c>
    </row>
    <row r="20" spans="1:26">
      <c r="A20" s="331">
        <v>1991</v>
      </c>
      <c r="B20" s="332">
        <v>2720</v>
      </c>
      <c r="C20" s="332">
        <v>2716</v>
      </c>
      <c r="D20" s="332">
        <v>2715</v>
      </c>
      <c r="E20" s="332">
        <v>2709</v>
      </c>
      <c r="F20" s="332">
        <v>2723</v>
      </c>
      <c r="G20" s="332">
        <v>2733</v>
      </c>
      <c r="H20" s="332">
        <v>2757</v>
      </c>
      <c r="I20" s="332">
        <v>2792</v>
      </c>
      <c r="J20" s="332">
        <v>2785</v>
      </c>
      <c r="K20" s="332">
        <v>2786</v>
      </c>
      <c r="L20" s="332">
        <v>2791</v>
      </c>
      <c r="M20" s="332">
        <v>2784</v>
      </c>
      <c r="N20" s="312"/>
      <c r="O20" s="333" t="str">
        <f t="shared" ref="O20:Z54" si="1">$A20&amp;TEXT(B$18,"00")</f>
        <v>199101</v>
      </c>
      <c r="P20" s="333" t="str">
        <f t="shared" si="0"/>
        <v>199102</v>
      </c>
      <c r="Q20" s="333" t="str">
        <f t="shared" si="0"/>
        <v>199103</v>
      </c>
      <c r="R20" s="333" t="str">
        <f t="shared" si="0"/>
        <v>199104</v>
      </c>
      <c r="S20" s="333" t="str">
        <f t="shared" si="0"/>
        <v>199105</v>
      </c>
      <c r="T20" s="333" t="str">
        <f t="shared" si="0"/>
        <v>199106</v>
      </c>
      <c r="U20" s="333" t="str">
        <f t="shared" si="0"/>
        <v>199107</v>
      </c>
      <c r="V20" s="333" t="str">
        <f t="shared" si="0"/>
        <v>199108</v>
      </c>
      <c r="W20" s="333" t="str">
        <f t="shared" si="0"/>
        <v>199109</v>
      </c>
      <c r="X20" s="333" t="str">
        <f t="shared" si="0"/>
        <v>199110</v>
      </c>
      <c r="Y20" s="333" t="str">
        <f t="shared" si="0"/>
        <v>199111</v>
      </c>
      <c r="Z20" s="333" t="str">
        <f t="shared" si="0"/>
        <v>199112</v>
      </c>
    </row>
    <row r="21" spans="1:26">
      <c r="A21" s="331">
        <v>1992</v>
      </c>
      <c r="B21" s="332">
        <v>2784</v>
      </c>
      <c r="C21" s="332">
        <v>2775</v>
      </c>
      <c r="D21" s="332">
        <v>2799</v>
      </c>
      <c r="E21" s="332">
        <v>2809</v>
      </c>
      <c r="F21" s="332">
        <v>2828</v>
      </c>
      <c r="G21" s="332">
        <v>2838</v>
      </c>
      <c r="H21" s="332">
        <v>2845</v>
      </c>
      <c r="I21" s="332">
        <v>2854</v>
      </c>
      <c r="J21" s="332">
        <v>2857</v>
      </c>
      <c r="K21" s="332">
        <v>2867</v>
      </c>
      <c r="L21" s="332">
        <v>2873</v>
      </c>
      <c r="M21" s="332">
        <v>2875</v>
      </c>
      <c r="N21" s="312"/>
      <c r="O21" s="333" t="str">
        <f t="shared" si="1"/>
        <v>199201</v>
      </c>
      <c r="P21" s="333" t="str">
        <f t="shared" si="0"/>
        <v>199202</v>
      </c>
      <c r="Q21" s="333" t="str">
        <f t="shared" si="0"/>
        <v>199203</v>
      </c>
      <c r="R21" s="333" t="str">
        <f t="shared" si="0"/>
        <v>199204</v>
      </c>
      <c r="S21" s="333" t="str">
        <f t="shared" si="0"/>
        <v>199205</v>
      </c>
      <c r="T21" s="333" t="str">
        <f t="shared" si="0"/>
        <v>199206</v>
      </c>
      <c r="U21" s="333" t="str">
        <f t="shared" si="0"/>
        <v>199207</v>
      </c>
      <c r="V21" s="333" t="str">
        <f t="shared" si="0"/>
        <v>199208</v>
      </c>
      <c r="W21" s="333" t="str">
        <f t="shared" si="0"/>
        <v>199209</v>
      </c>
      <c r="X21" s="333" t="str">
        <f t="shared" si="0"/>
        <v>199210</v>
      </c>
      <c r="Y21" s="333" t="str">
        <f t="shared" si="0"/>
        <v>199211</v>
      </c>
      <c r="Z21" s="333" t="str">
        <f t="shared" si="0"/>
        <v>199212</v>
      </c>
    </row>
    <row r="22" spans="1:26">
      <c r="A22" s="331">
        <v>1993</v>
      </c>
      <c r="B22" s="332">
        <v>2886</v>
      </c>
      <c r="C22" s="332">
        <v>2886</v>
      </c>
      <c r="D22" s="332">
        <v>2915</v>
      </c>
      <c r="E22" s="332">
        <v>2976</v>
      </c>
      <c r="F22" s="332">
        <v>3071</v>
      </c>
      <c r="G22" s="332">
        <v>3066</v>
      </c>
      <c r="H22" s="332">
        <v>3038</v>
      </c>
      <c r="I22" s="332">
        <v>3014</v>
      </c>
      <c r="J22" s="332">
        <v>3009</v>
      </c>
      <c r="K22" s="332">
        <v>3016</v>
      </c>
      <c r="L22" s="332">
        <v>3029</v>
      </c>
      <c r="M22" s="332">
        <v>3046</v>
      </c>
      <c r="N22" s="312"/>
      <c r="O22" s="333" t="str">
        <f t="shared" si="1"/>
        <v>199301</v>
      </c>
      <c r="P22" s="333" t="str">
        <f t="shared" si="0"/>
        <v>199302</v>
      </c>
      <c r="Q22" s="333" t="str">
        <f t="shared" si="0"/>
        <v>199303</v>
      </c>
      <c r="R22" s="333" t="str">
        <f t="shared" si="0"/>
        <v>199304</v>
      </c>
      <c r="S22" s="333" t="str">
        <f t="shared" si="0"/>
        <v>199305</v>
      </c>
      <c r="T22" s="333" t="str">
        <f t="shared" si="0"/>
        <v>199306</v>
      </c>
      <c r="U22" s="333" t="str">
        <f t="shared" si="0"/>
        <v>199307</v>
      </c>
      <c r="V22" s="333" t="str">
        <f t="shared" si="0"/>
        <v>199308</v>
      </c>
      <c r="W22" s="333" t="str">
        <f t="shared" si="0"/>
        <v>199309</v>
      </c>
      <c r="X22" s="333" t="str">
        <f t="shared" si="0"/>
        <v>199310</v>
      </c>
      <c r="Y22" s="333" t="str">
        <f t="shared" si="0"/>
        <v>199311</v>
      </c>
      <c r="Z22" s="333" t="str">
        <f t="shared" si="0"/>
        <v>199312</v>
      </c>
    </row>
    <row r="23" spans="1:26">
      <c r="A23" s="331">
        <v>1994</v>
      </c>
      <c r="B23" s="332">
        <v>3071</v>
      </c>
      <c r="C23" s="332">
        <v>3106</v>
      </c>
      <c r="D23" s="332">
        <v>3116</v>
      </c>
      <c r="E23" s="332">
        <v>3127</v>
      </c>
      <c r="F23" s="332">
        <v>3125</v>
      </c>
      <c r="G23" s="332">
        <v>3115</v>
      </c>
      <c r="H23" s="332">
        <v>3107</v>
      </c>
      <c r="I23" s="332">
        <v>3109</v>
      </c>
      <c r="J23" s="332">
        <v>3116</v>
      </c>
      <c r="K23" s="332">
        <v>3116</v>
      </c>
      <c r="L23" s="332">
        <v>3109</v>
      </c>
      <c r="M23" s="332">
        <v>3110</v>
      </c>
      <c r="N23" s="312"/>
      <c r="O23" s="333" t="str">
        <f t="shared" si="1"/>
        <v>199401</v>
      </c>
      <c r="P23" s="333" t="str">
        <f t="shared" si="0"/>
        <v>199402</v>
      </c>
      <c r="Q23" s="333" t="str">
        <f t="shared" si="0"/>
        <v>199403</v>
      </c>
      <c r="R23" s="333" t="str">
        <f t="shared" si="0"/>
        <v>199404</v>
      </c>
      <c r="S23" s="333" t="str">
        <f t="shared" si="0"/>
        <v>199405</v>
      </c>
      <c r="T23" s="333" t="str">
        <f t="shared" si="0"/>
        <v>199406</v>
      </c>
      <c r="U23" s="333" t="str">
        <f t="shared" si="0"/>
        <v>199407</v>
      </c>
      <c r="V23" s="333" t="str">
        <f t="shared" si="0"/>
        <v>199408</v>
      </c>
      <c r="W23" s="333" t="str">
        <f t="shared" si="0"/>
        <v>199409</v>
      </c>
      <c r="X23" s="333" t="str">
        <f t="shared" si="0"/>
        <v>199410</v>
      </c>
      <c r="Y23" s="333" t="str">
        <f t="shared" si="0"/>
        <v>199411</v>
      </c>
      <c r="Z23" s="333" t="str">
        <f t="shared" si="0"/>
        <v>199412</v>
      </c>
    </row>
    <row r="24" spans="1:26">
      <c r="A24" s="331">
        <v>1995</v>
      </c>
      <c r="B24" s="332">
        <v>3112</v>
      </c>
      <c r="C24" s="332">
        <v>3111</v>
      </c>
      <c r="D24" s="332">
        <v>3103</v>
      </c>
      <c r="E24" s="332">
        <v>3100</v>
      </c>
      <c r="F24" s="332">
        <v>3096</v>
      </c>
      <c r="G24" s="332">
        <v>3095</v>
      </c>
      <c r="H24" s="332">
        <v>3114</v>
      </c>
      <c r="I24" s="332">
        <v>3121</v>
      </c>
      <c r="J24" s="332">
        <v>3109</v>
      </c>
      <c r="K24" s="332">
        <v>3117</v>
      </c>
      <c r="L24" s="332">
        <v>3131</v>
      </c>
      <c r="M24" s="332">
        <v>3128</v>
      </c>
      <c r="N24" s="312"/>
      <c r="O24" s="333" t="str">
        <f t="shared" si="1"/>
        <v>199501</v>
      </c>
      <c r="P24" s="333" t="str">
        <f t="shared" si="0"/>
        <v>199502</v>
      </c>
      <c r="Q24" s="333" t="str">
        <f t="shared" si="0"/>
        <v>199503</v>
      </c>
      <c r="R24" s="333" t="str">
        <f t="shared" si="0"/>
        <v>199504</v>
      </c>
      <c r="S24" s="333" t="str">
        <f t="shared" si="0"/>
        <v>199505</v>
      </c>
      <c r="T24" s="333" t="str">
        <f t="shared" si="0"/>
        <v>199506</v>
      </c>
      <c r="U24" s="333" t="str">
        <f t="shared" si="0"/>
        <v>199507</v>
      </c>
      <c r="V24" s="333" t="str">
        <f t="shared" si="0"/>
        <v>199508</v>
      </c>
      <c r="W24" s="333" t="str">
        <f t="shared" si="0"/>
        <v>199509</v>
      </c>
      <c r="X24" s="333" t="str">
        <f t="shared" si="0"/>
        <v>199510</v>
      </c>
      <c r="Y24" s="333" t="str">
        <f t="shared" si="0"/>
        <v>199511</v>
      </c>
      <c r="Z24" s="333" t="str">
        <f t="shared" si="0"/>
        <v>199512</v>
      </c>
    </row>
    <row r="25" spans="1:26">
      <c r="A25" s="331">
        <v>1996</v>
      </c>
      <c r="B25" s="332">
        <v>3127</v>
      </c>
      <c r="C25" s="332">
        <v>3131</v>
      </c>
      <c r="D25" s="332">
        <v>3135</v>
      </c>
      <c r="E25" s="332">
        <v>3148</v>
      </c>
      <c r="F25" s="332">
        <v>3161</v>
      </c>
      <c r="G25" s="332">
        <v>3178</v>
      </c>
      <c r="H25" s="332">
        <v>3190</v>
      </c>
      <c r="I25" s="332">
        <v>3223</v>
      </c>
      <c r="J25" s="332">
        <v>3246</v>
      </c>
      <c r="K25" s="332">
        <v>3284</v>
      </c>
      <c r="L25" s="332">
        <v>3304</v>
      </c>
      <c r="M25" s="332">
        <v>3311</v>
      </c>
      <c r="N25" s="312"/>
      <c r="O25" s="333" t="str">
        <f t="shared" si="1"/>
        <v>199601</v>
      </c>
      <c r="P25" s="333" t="str">
        <f t="shared" si="0"/>
        <v>199602</v>
      </c>
      <c r="Q25" s="333" t="str">
        <f t="shared" si="0"/>
        <v>199603</v>
      </c>
      <c r="R25" s="333" t="str">
        <f t="shared" si="0"/>
        <v>199604</v>
      </c>
      <c r="S25" s="333" t="str">
        <f t="shared" si="0"/>
        <v>199605</v>
      </c>
      <c r="T25" s="333" t="str">
        <f t="shared" si="0"/>
        <v>199606</v>
      </c>
      <c r="U25" s="333" t="str">
        <f t="shared" si="0"/>
        <v>199607</v>
      </c>
      <c r="V25" s="333" t="str">
        <f t="shared" si="0"/>
        <v>199608</v>
      </c>
      <c r="W25" s="333" t="str">
        <f t="shared" si="0"/>
        <v>199609</v>
      </c>
      <c r="X25" s="333" t="str">
        <f t="shared" si="0"/>
        <v>199610</v>
      </c>
      <c r="Y25" s="333" t="str">
        <f t="shared" si="0"/>
        <v>199611</v>
      </c>
      <c r="Z25" s="333" t="str">
        <f t="shared" si="0"/>
        <v>199612</v>
      </c>
    </row>
    <row r="26" spans="1:26">
      <c r="A26" s="331">
        <v>1997</v>
      </c>
      <c r="B26" s="332">
        <v>3332</v>
      </c>
      <c r="C26" s="332">
        <v>3333</v>
      </c>
      <c r="D26" s="332">
        <v>3323</v>
      </c>
      <c r="E26" s="332">
        <v>3364</v>
      </c>
      <c r="F26" s="332">
        <v>3377</v>
      </c>
      <c r="G26" s="332">
        <v>3396</v>
      </c>
      <c r="H26" s="332">
        <v>3392</v>
      </c>
      <c r="I26" s="332">
        <v>3385</v>
      </c>
      <c r="J26" s="332">
        <v>3378</v>
      </c>
      <c r="K26" s="332">
        <v>3372</v>
      </c>
      <c r="L26" s="332">
        <v>3350</v>
      </c>
      <c r="M26" s="332">
        <v>3370</v>
      </c>
      <c r="N26" s="312"/>
      <c r="O26" s="333" t="str">
        <f t="shared" si="1"/>
        <v>199701</v>
      </c>
      <c r="P26" s="333" t="str">
        <f t="shared" si="0"/>
        <v>199702</v>
      </c>
      <c r="Q26" s="333" t="str">
        <f t="shared" si="0"/>
        <v>199703</v>
      </c>
      <c r="R26" s="333" t="str">
        <f t="shared" si="0"/>
        <v>199704</v>
      </c>
      <c r="S26" s="333" t="str">
        <f t="shared" si="0"/>
        <v>199705</v>
      </c>
      <c r="T26" s="333" t="str">
        <f t="shared" si="0"/>
        <v>199706</v>
      </c>
      <c r="U26" s="333" t="str">
        <f t="shared" si="0"/>
        <v>199707</v>
      </c>
      <c r="V26" s="333" t="str">
        <f t="shared" si="0"/>
        <v>199708</v>
      </c>
      <c r="W26" s="333" t="str">
        <f t="shared" si="0"/>
        <v>199709</v>
      </c>
      <c r="X26" s="333" t="str">
        <f t="shared" si="0"/>
        <v>199710</v>
      </c>
      <c r="Y26" s="333" t="str">
        <f t="shared" si="0"/>
        <v>199711</v>
      </c>
      <c r="Z26" s="333" t="str">
        <f t="shared" si="0"/>
        <v>199712</v>
      </c>
    </row>
    <row r="27" spans="1:26">
      <c r="A27" s="331">
        <v>1998</v>
      </c>
      <c r="B27" s="332">
        <v>3363</v>
      </c>
      <c r="C27" s="332">
        <v>3372</v>
      </c>
      <c r="D27" s="332">
        <v>3368</v>
      </c>
      <c r="E27" s="332">
        <v>3375</v>
      </c>
      <c r="F27" s="332">
        <v>3374</v>
      </c>
      <c r="G27" s="332">
        <v>3379</v>
      </c>
      <c r="H27" s="332">
        <v>3382</v>
      </c>
      <c r="I27" s="332">
        <v>3391</v>
      </c>
      <c r="J27" s="332">
        <v>3414</v>
      </c>
      <c r="K27" s="332">
        <v>3423</v>
      </c>
      <c r="L27" s="332">
        <v>3424</v>
      </c>
      <c r="M27" s="332">
        <v>3419</v>
      </c>
      <c r="N27" s="312"/>
      <c r="O27" s="333" t="str">
        <f t="shared" si="1"/>
        <v>199801</v>
      </c>
      <c r="P27" s="333" t="str">
        <f t="shared" si="0"/>
        <v>199802</v>
      </c>
      <c r="Q27" s="333" t="str">
        <f t="shared" si="0"/>
        <v>199803</v>
      </c>
      <c r="R27" s="333" t="str">
        <f t="shared" si="0"/>
        <v>199804</v>
      </c>
      <c r="S27" s="333" t="str">
        <f t="shared" si="0"/>
        <v>199805</v>
      </c>
      <c r="T27" s="333" t="str">
        <f t="shared" si="0"/>
        <v>199806</v>
      </c>
      <c r="U27" s="333" t="str">
        <f t="shared" si="0"/>
        <v>199807</v>
      </c>
      <c r="V27" s="333" t="str">
        <f t="shared" si="0"/>
        <v>199808</v>
      </c>
      <c r="W27" s="333" t="str">
        <f t="shared" si="0"/>
        <v>199809</v>
      </c>
      <c r="X27" s="333" t="str">
        <f t="shared" si="0"/>
        <v>199810</v>
      </c>
      <c r="Y27" s="333" t="str">
        <f t="shared" si="0"/>
        <v>199811</v>
      </c>
      <c r="Z27" s="333" t="str">
        <f t="shared" si="0"/>
        <v>199812</v>
      </c>
    </row>
    <row r="28" spans="1:26">
      <c r="A28" s="331">
        <v>1999</v>
      </c>
      <c r="B28" s="332">
        <v>3425</v>
      </c>
      <c r="C28" s="332">
        <v>3417</v>
      </c>
      <c r="D28" s="332">
        <v>3411</v>
      </c>
      <c r="E28" s="332">
        <v>3421</v>
      </c>
      <c r="F28" s="332">
        <v>3422</v>
      </c>
      <c r="G28" s="332">
        <v>3433</v>
      </c>
      <c r="H28" s="332">
        <v>3460</v>
      </c>
      <c r="I28" s="332">
        <v>3474</v>
      </c>
      <c r="J28" s="332">
        <v>3504</v>
      </c>
      <c r="K28" s="332">
        <v>3505</v>
      </c>
      <c r="L28" s="332">
        <v>3498</v>
      </c>
      <c r="M28" s="332">
        <v>3497</v>
      </c>
      <c r="N28" s="312"/>
      <c r="O28" s="333" t="str">
        <f t="shared" si="1"/>
        <v>199901</v>
      </c>
      <c r="P28" s="333" t="str">
        <f t="shared" si="0"/>
        <v>199902</v>
      </c>
      <c r="Q28" s="333" t="str">
        <f t="shared" si="0"/>
        <v>199903</v>
      </c>
      <c r="R28" s="333" t="str">
        <f t="shared" si="0"/>
        <v>199904</v>
      </c>
      <c r="S28" s="333" t="str">
        <f t="shared" si="0"/>
        <v>199905</v>
      </c>
      <c r="T28" s="333" t="str">
        <f t="shared" si="0"/>
        <v>199906</v>
      </c>
      <c r="U28" s="333" t="str">
        <f t="shared" si="0"/>
        <v>199907</v>
      </c>
      <c r="V28" s="333" t="str">
        <f t="shared" si="0"/>
        <v>199908</v>
      </c>
      <c r="W28" s="333" t="str">
        <f t="shared" si="0"/>
        <v>199909</v>
      </c>
      <c r="X28" s="333" t="str">
        <f t="shared" si="0"/>
        <v>199910</v>
      </c>
      <c r="Y28" s="333" t="str">
        <f t="shared" si="0"/>
        <v>199911</v>
      </c>
      <c r="Z28" s="333" t="str">
        <f t="shared" si="0"/>
        <v>199912</v>
      </c>
    </row>
    <row r="29" spans="1:26">
      <c r="A29" s="331">
        <v>2000</v>
      </c>
      <c r="B29" s="332">
        <v>3503</v>
      </c>
      <c r="C29" s="332">
        <v>3523</v>
      </c>
      <c r="D29" s="332">
        <v>3536</v>
      </c>
      <c r="E29" s="332">
        <v>3534</v>
      </c>
      <c r="F29" s="332">
        <v>3558</v>
      </c>
      <c r="G29" s="332">
        <v>3553</v>
      </c>
      <c r="H29" s="332">
        <v>3545</v>
      </c>
      <c r="I29" s="332">
        <v>3546</v>
      </c>
      <c r="J29" s="332">
        <v>3539</v>
      </c>
      <c r="K29" s="332">
        <v>3547</v>
      </c>
      <c r="L29" s="332">
        <v>3541</v>
      </c>
      <c r="M29" s="332">
        <v>3548</v>
      </c>
      <c r="N29" s="312"/>
      <c r="O29" s="333" t="str">
        <f t="shared" si="1"/>
        <v>200001</v>
      </c>
      <c r="P29" s="333" t="str">
        <f t="shared" si="0"/>
        <v>200002</v>
      </c>
      <c r="Q29" s="333" t="str">
        <f t="shared" si="0"/>
        <v>200003</v>
      </c>
      <c r="R29" s="333" t="str">
        <f t="shared" si="0"/>
        <v>200004</v>
      </c>
      <c r="S29" s="333" t="str">
        <f t="shared" si="0"/>
        <v>200005</v>
      </c>
      <c r="T29" s="333" t="str">
        <f t="shared" si="0"/>
        <v>200006</v>
      </c>
      <c r="U29" s="333" t="str">
        <f t="shared" si="0"/>
        <v>200007</v>
      </c>
      <c r="V29" s="333" t="str">
        <f t="shared" si="0"/>
        <v>200008</v>
      </c>
      <c r="W29" s="333" t="str">
        <f t="shared" si="0"/>
        <v>200009</v>
      </c>
      <c r="X29" s="333" t="str">
        <f t="shared" si="0"/>
        <v>200010</v>
      </c>
      <c r="Y29" s="333" t="str">
        <f t="shared" si="0"/>
        <v>200011</v>
      </c>
      <c r="Z29" s="333" t="str">
        <f t="shared" si="0"/>
        <v>200012</v>
      </c>
    </row>
    <row r="30" spans="1:26">
      <c r="A30" s="331">
        <v>2001</v>
      </c>
      <c r="B30" s="332">
        <v>3545</v>
      </c>
      <c r="C30" s="332">
        <v>3536</v>
      </c>
      <c r="D30" s="332">
        <v>3541</v>
      </c>
      <c r="E30" s="332">
        <v>3541</v>
      </c>
      <c r="F30" s="332">
        <v>3547</v>
      </c>
      <c r="G30" s="332">
        <v>3572</v>
      </c>
      <c r="H30" s="332">
        <v>3625</v>
      </c>
      <c r="I30" s="332">
        <v>3605</v>
      </c>
      <c r="J30" s="332">
        <v>3597</v>
      </c>
      <c r="K30" s="332">
        <v>3602</v>
      </c>
      <c r="L30" s="332">
        <v>3596</v>
      </c>
      <c r="M30" s="332">
        <v>3577</v>
      </c>
      <c r="N30" s="312"/>
      <c r="O30" s="333" t="str">
        <f t="shared" si="1"/>
        <v>200101</v>
      </c>
      <c r="P30" s="333" t="str">
        <f t="shared" si="0"/>
        <v>200102</v>
      </c>
      <c r="Q30" s="333" t="str">
        <f t="shared" si="0"/>
        <v>200103</v>
      </c>
      <c r="R30" s="333" t="str">
        <f t="shared" si="0"/>
        <v>200104</v>
      </c>
      <c r="S30" s="333" t="str">
        <f t="shared" si="0"/>
        <v>200105</v>
      </c>
      <c r="T30" s="333" t="str">
        <f t="shared" si="0"/>
        <v>200106</v>
      </c>
      <c r="U30" s="333" t="str">
        <f t="shared" si="0"/>
        <v>200107</v>
      </c>
      <c r="V30" s="333" t="str">
        <f t="shared" si="0"/>
        <v>200108</v>
      </c>
      <c r="W30" s="333" t="str">
        <f t="shared" si="0"/>
        <v>200109</v>
      </c>
      <c r="X30" s="333" t="str">
        <f t="shared" si="0"/>
        <v>200110</v>
      </c>
      <c r="Y30" s="333" t="str">
        <f t="shared" si="0"/>
        <v>200111</v>
      </c>
      <c r="Z30" s="333" t="str">
        <f t="shared" si="0"/>
        <v>200112</v>
      </c>
    </row>
    <row r="31" spans="1:26">
      <c r="A31" s="331">
        <v>2002</v>
      </c>
      <c r="B31" s="332">
        <v>3581</v>
      </c>
      <c r="C31" s="332">
        <v>3581</v>
      </c>
      <c r="D31" s="332">
        <v>3597</v>
      </c>
      <c r="E31" s="332">
        <v>3583</v>
      </c>
      <c r="F31" s="332">
        <v>3612</v>
      </c>
      <c r="G31" s="332">
        <v>3624</v>
      </c>
      <c r="H31" s="332">
        <v>3652</v>
      </c>
      <c r="I31" s="332">
        <v>3648</v>
      </c>
      <c r="J31" s="332">
        <v>3655</v>
      </c>
      <c r="K31" s="332">
        <v>3651</v>
      </c>
      <c r="L31" s="332">
        <v>3654</v>
      </c>
      <c r="M31" s="332">
        <v>3640</v>
      </c>
      <c r="N31" s="312"/>
      <c r="O31" s="333" t="str">
        <f t="shared" si="1"/>
        <v>200201</v>
      </c>
      <c r="P31" s="333" t="str">
        <f t="shared" si="0"/>
        <v>200202</v>
      </c>
      <c r="Q31" s="333" t="str">
        <f t="shared" si="0"/>
        <v>200203</v>
      </c>
      <c r="R31" s="333" t="str">
        <f t="shared" si="0"/>
        <v>200204</v>
      </c>
      <c r="S31" s="333" t="str">
        <f t="shared" si="0"/>
        <v>200205</v>
      </c>
      <c r="T31" s="333" t="str">
        <f t="shared" si="0"/>
        <v>200206</v>
      </c>
      <c r="U31" s="333" t="str">
        <f t="shared" si="0"/>
        <v>200207</v>
      </c>
      <c r="V31" s="333" t="str">
        <f t="shared" si="0"/>
        <v>200208</v>
      </c>
      <c r="W31" s="333" t="str">
        <f t="shared" si="0"/>
        <v>200209</v>
      </c>
      <c r="X31" s="333" t="str">
        <f t="shared" si="0"/>
        <v>200210</v>
      </c>
      <c r="Y31" s="333" t="str">
        <f t="shared" si="0"/>
        <v>200211</v>
      </c>
      <c r="Z31" s="333" t="str">
        <f t="shared" si="0"/>
        <v>200212</v>
      </c>
    </row>
    <row r="32" spans="1:26">
      <c r="A32" s="331">
        <v>2003</v>
      </c>
      <c r="B32" s="332">
        <v>3648</v>
      </c>
      <c r="C32" s="332">
        <v>3655</v>
      </c>
      <c r="D32" s="332">
        <v>3649</v>
      </c>
      <c r="E32" s="332">
        <v>3652</v>
      </c>
      <c r="F32" s="332">
        <v>3660</v>
      </c>
      <c r="G32" s="332">
        <v>3677</v>
      </c>
      <c r="H32" s="332">
        <v>3683</v>
      </c>
      <c r="I32" s="332">
        <v>3712</v>
      </c>
      <c r="J32" s="332">
        <v>3717</v>
      </c>
      <c r="K32" s="332">
        <v>3745</v>
      </c>
      <c r="L32" s="332">
        <v>3765</v>
      </c>
      <c r="M32" s="332">
        <v>3757</v>
      </c>
      <c r="N32" s="312"/>
      <c r="O32" s="333" t="str">
        <f t="shared" si="1"/>
        <v>200301</v>
      </c>
      <c r="P32" s="333" t="str">
        <f t="shared" si="0"/>
        <v>200302</v>
      </c>
      <c r="Q32" s="333" t="str">
        <f t="shared" si="0"/>
        <v>200303</v>
      </c>
      <c r="R32" s="333" t="str">
        <f t="shared" si="0"/>
        <v>200304</v>
      </c>
      <c r="S32" s="333" t="str">
        <f t="shared" si="0"/>
        <v>200305</v>
      </c>
      <c r="T32" s="333" t="str">
        <f t="shared" si="0"/>
        <v>200306</v>
      </c>
      <c r="U32" s="333" t="str">
        <f t="shared" si="0"/>
        <v>200307</v>
      </c>
      <c r="V32" s="333" t="str">
        <f t="shared" si="0"/>
        <v>200308</v>
      </c>
      <c r="W32" s="333" t="str">
        <f t="shared" si="0"/>
        <v>200309</v>
      </c>
      <c r="X32" s="333" t="str">
        <f t="shared" si="0"/>
        <v>200310</v>
      </c>
      <c r="Y32" s="333" t="str">
        <f t="shared" si="0"/>
        <v>200311</v>
      </c>
      <c r="Z32" s="333" t="str">
        <f t="shared" si="0"/>
        <v>200312</v>
      </c>
    </row>
    <row r="33" spans="1:26">
      <c r="A33" s="331">
        <v>2004</v>
      </c>
      <c r="B33" s="332">
        <v>3767</v>
      </c>
      <c r="C33" s="332">
        <v>3802</v>
      </c>
      <c r="D33" s="332">
        <v>3859</v>
      </c>
      <c r="E33" s="332">
        <v>3908</v>
      </c>
      <c r="F33" s="332">
        <v>3956</v>
      </c>
      <c r="G33" s="332">
        <v>3996</v>
      </c>
      <c r="H33" s="332">
        <v>4013</v>
      </c>
      <c r="I33" s="332">
        <v>4027</v>
      </c>
      <c r="J33" s="332">
        <v>4102</v>
      </c>
      <c r="K33" s="332">
        <v>4129</v>
      </c>
      <c r="L33" s="332">
        <v>4128</v>
      </c>
      <c r="M33" s="332">
        <v>4123</v>
      </c>
      <c r="N33" s="312"/>
      <c r="O33" s="333" t="str">
        <f t="shared" si="1"/>
        <v>200401</v>
      </c>
      <c r="P33" s="333" t="str">
        <f t="shared" si="0"/>
        <v>200402</v>
      </c>
      <c r="Q33" s="333" t="str">
        <f t="shared" si="0"/>
        <v>200403</v>
      </c>
      <c r="R33" s="333" t="str">
        <f t="shared" si="0"/>
        <v>200404</v>
      </c>
      <c r="S33" s="333" t="str">
        <f t="shared" si="0"/>
        <v>200405</v>
      </c>
      <c r="T33" s="333" t="str">
        <f t="shared" si="0"/>
        <v>200406</v>
      </c>
      <c r="U33" s="333" t="str">
        <f t="shared" si="0"/>
        <v>200407</v>
      </c>
      <c r="V33" s="333" t="str">
        <f t="shared" si="0"/>
        <v>200408</v>
      </c>
      <c r="W33" s="333" t="str">
        <f t="shared" si="0"/>
        <v>200409</v>
      </c>
      <c r="X33" s="333" t="str">
        <f t="shared" si="0"/>
        <v>200410</v>
      </c>
      <c r="Y33" s="333" t="str">
        <f t="shared" si="0"/>
        <v>200411</v>
      </c>
      <c r="Z33" s="333" t="str">
        <f t="shared" si="0"/>
        <v>200412</v>
      </c>
    </row>
    <row r="34" spans="1:26">
      <c r="A34" s="331">
        <v>2005</v>
      </c>
      <c r="B34" s="332">
        <v>4112</v>
      </c>
      <c r="C34" s="332">
        <v>4116</v>
      </c>
      <c r="D34" s="332">
        <v>4127</v>
      </c>
      <c r="E34" s="332">
        <v>4168</v>
      </c>
      <c r="F34" s="332">
        <v>4189</v>
      </c>
      <c r="G34" s="332">
        <v>4195</v>
      </c>
      <c r="H34" s="332">
        <v>4197</v>
      </c>
      <c r="I34" s="332">
        <v>4210</v>
      </c>
      <c r="J34" s="332">
        <v>4242</v>
      </c>
      <c r="K34" s="332">
        <v>4265</v>
      </c>
      <c r="L34" s="332">
        <v>4312</v>
      </c>
      <c r="M34" s="332">
        <v>4329</v>
      </c>
      <c r="N34" s="312"/>
      <c r="O34" s="333" t="str">
        <f t="shared" si="1"/>
        <v>200501</v>
      </c>
      <c r="P34" s="333" t="str">
        <f t="shared" si="0"/>
        <v>200502</v>
      </c>
      <c r="Q34" s="333" t="str">
        <f t="shared" si="0"/>
        <v>200503</v>
      </c>
      <c r="R34" s="333" t="str">
        <f t="shared" si="0"/>
        <v>200504</v>
      </c>
      <c r="S34" s="333" t="str">
        <f t="shared" si="0"/>
        <v>200505</v>
      </c>
      <c r="T34" s="333" t="str">
        <f t="shared" si="0"/>
        <v>200506</v>
      </c>
      <c r="U34" s="333" t="str">
        <f t="shared" si="0"/>
        <v>200507</v>
      </c>
      <c r="V34" s="333" t="str">
        <f t="shared" si="0"/>
        <v>200508</v>
      </c>
      <c r="W34" s="333" t="str">
        <f t="shared" si="0"/>
        <v>200509</v>
      </c>
      <c r="X34" s="333" t="str">
        <f t="shared" si="0"/>
        <v>200510</v>
      </c>
      <c r="Y34" s="333" t="str">
        <f t="shared" si="0"/>
        <v>200511</v>
      </c>
      <c r="Z34" s="333" t="str">
        <f t="shared" si="0"/>
        <v>200512</v>
      </c>
    </row>
    <row r="35" spans="1:26">
      <c r="A35" s="331">
        <v>2006</v>
      </c>
      <c r="B35" s="332">
        <v>4335</v>
      </c>
      <c r="C35" s="332">
        <v>4337</v>
      </c>
      <c r="D35" s="332">
        <v>4330</v>
      </c>
      <c r="E35" s="332">
        <v>4335</v>
      </c>
      <c r="F35" s="332">
        <v>4331</v>
      </c>
      <c r="G35" s="332">
        <v>4340</v>
      </c>
      <c r="H35" s="332">
        <v>4356</v>
      </c>
      <c r="I35" s="332">
        <v>4359</v>
      </c>
      <c r="J35" s="332">
        <v>4375</v>
      </c>
      <c r="K35" s="332">
        <v>4431</v>
      </c>
      <c r="L35" s="332">
        <v>4462</v>
      </c>
      <c r="M35" s="332">
        <v>4441</v>
      </c>
      <c r="N35" s="312"/>
      <c r="O35" s="333" t="str">
        <f t="shared" si="1"/>
        <v>200601</v>
      </c>
      <c r="P35" s="333" t="str">
        <f t="shared" si="1"/>
        <v>200602</v>
      </c>
      <c r="Q35" s="333" t="str">
        <f t="shared" si="1"/>
        <v>200603</v>
      </c>
      <c r="R35" s="333" t="str">
        <f t="shared" si="1"/>
        <v>200604</v>
      </c>
      <c r="S35" s="333" t="str">
        <f t="shared" si="1"/>
        <v>200605</v>
      </c>
      <c r="T35" s="333" t="str">
        <f t="shared" si="1"/>
        <v>200606</v>
      </c>
      <c r="U35" s="333" t="str">
        <f t="shared" si="1"/>
        <v>200607</v>
      </c>
      <c r="V35" s="333" t="str">
        <f t="shared" si="1"/>
        <v>200608</v>
      </c>
      <c r="W35" s="333" t="str">
        <f t="shared" si="1"/>
        <v>200609</v>
      </c>
      <c r="X35" s="333" t="str">
        <f t="shared" si="1"/>
        <v>200610</v>
      </c>
      <c r="Y35" s="333" t="str">
        <f t="shared" si="1"/>
        <v>200611</v>
      </c>
      <c r="Z35" s="333" t="str">
        <f t="shared" si="1"/>
        <v>200612</v>
      </c>
    </row>
    <row r="36" spans="1:26">
      <c r="A36" s="331">
        <v>2007</v>
      </c>
      <c r="B36" s="332">
        <v>4432</v>
      </c>
      <c r="C36" s="332">
        <v>4432</v>
      </c>
      <c r="D36" s="332">
        <v>4411</v>
      </c>
      <c r="E36" s="332">
        <v>4416</v>
      </c>
      <c r="F36" s="332">
        <v>4475</v>
      </c>
      <c r="G36" s="332">
        <v>4471</v>
      </c>
      <c r="H36" s="332">
        <v>4493</v>
      </c>
      <c r="I36" s="332">
        <v>4512</v>
      </c>
      <c r="J36" s="332">
        <v>4533</v>
      </c>
      <c r="K36" s="332">
        <v>4535</v>
      </c>
      <c r="L36" s="332">
        <v>4558</v>
      </c>
      <c r="M36" s="332">
        <v>4556</v>
      </c>
      <c r="N36" s="312"/>
      <c r="O36" s="333" t="str">
        <f t="shared" si="1"/>
        <v>200701</v>
      </c>
      <c r="P36" s="333" t="str">
        <f t="shared" si="1"/>
        <v>200702</v>
      </c>
      <c r="Q36" s="333" t="str">
        <f t="shared" si="1"/>
        <v>200703</v>
      </c>
      <c r="R36" s="333" t="str">
        <f t="shared" si="1"/>
        <v>200704</v>
      </c>
      <c r="S36" s="333" t="str">
        <f t="shared" si="1"/>
        <v>200705</v>
      </c>
      <c r="T36" s="333" t="str">
        <f t="shared" si="1"/>
        <v>200706</v>
      </c>
      <c r="U36" s="333" t="str">
        <f t="shared" si="1"/>
        <v>200707</v>
      </c>
      <c r="V36" s="333" t="str">
        <f t="shared" si="1"/>
        <v>200708</v>
      </c>
      <c r="W36" s="333" t="str">
        <f t="shared" si="1"/>
        <v>200709</v>
      </c>
      <c r="X36" s="333" t="str">
        <f t="shared" si="1"/>
        <v>200710</v>
      </c>
      <c r="Y36" s="333" t="str">
        <f t="shared" si="1"/>
        <v>200711</v>
      </c>
      <c r="Z36" s="333" t="str">
        <f t="shared" si="1"/>
        <v>200712</v>
      </c>
    </row>
    <row r="37" spans="1:26">
      <c r="A37" s="331">
        <v>2008</v>
      </c>
      <c r="B37" s="332">
        <v>4557</v>
      </c>
      <c r="C37" s="332">
        <v>4556</v>
      </c>
      <c r="D37" s="332">
        <v>4571</v>
      </c>
      <c r="E37" s="332">
        <v>4574</v>
      </c>
      <c r="F37" s="332">
        <v>4599</v>
      </c>
      <c r="G37" s="332">
        <v>4640</v>
      </c>
      <c r="H37" s="332">
        <v>4723</v>
      </c>
      <c r="I37" s="332">
        <v>4733</v>
      </c>
      <c r="J37" s="332">
        <v>4827</v>
      </c>
      <c r="K37" s="332">
        <v>4867</v>
      </c>
      <c r="L37" s="332">
        <v>4847</v>
      </c>
      <c r="M37" s="332">
        <v>4797</v>
      </c>
      <c r="N37" s="312"/>
      <c r="O37" s="333" t="str">
        <f t="shared" si="1"/>
        <v>200801</v>
      </c>
      <c r="P37" s="333" t="str">
        <f t="shared" si="1"/>
        <v>200802</v>
      </c>
      <c r="Q37" s="333" t="str">
        <f t="shared" si="1"/>
        <v>200803</v>
      </c>
      <c r="R37" s="333" t="str">
        <f t="shared" si="1"/>
        <v>200804</v>
      </c>
      <c r="S37" s="333" t="str">
        <f t="shared" si="1"/>
        <v>200805</v>
      </c>
      <c r="T37" s="333" t="str">
        <f t="shared" si="1"/>
        <v>200806</v>
      </c>
      <c r="U37" s="333" t="str">
        <f t="shared" si="1"/>
        <v>200807</v>
      </c>
      <c r="V37" s="333" t="str">
        <f t="shared" si="1"/>
        <v>200808</v>
      </c>
      <c r="W37" s="333" t="str">
        <f t="shared" si="1"/>
        <v>200809</v>
      </c>
      <c r="X37" s="333" t="str">
        <f t="shared" si="1"/>
        <v>200810</v>
      </c>
      <c r="Y37" s="333" t="str">
        <f t="shared" si="1"/>
        <v>200811</v>
      </c>
      <c r="Z37" s="333" t="str">
        <f t="shared" si="1"/>
        <v>200812</v>
      </c>
    </row>
    <row r="38" spans="1:26">
      <c r="A38" s="331">
        <v>2009</v>
      </c>
      <c r="B38" s="332">
        <v>4782</v>
      </c>
      <c r="C38" s="332">
        <v>4765</v>
      </c>
      <c r="D38" s="332">
        <v>4767</v>
      </c>
      <c r="E38" s="332">
        <v>4761</v>
      </c>
      <c r="F38" s="332">
        <v>4773</v>
      </c>
      <c r="G38" s="332">
        <v>4771</v>
      </c>
      <c r="H38" s="332">
        <v>4762</v>
      </c>
      <c r="I38" s="332">
        <v>4768</v>
      </c>
      <c r="J38" s="332">
        <v>4764</v>
      </c>
      <c r="K38" s="332">
        <v>4762</v>
      </c>
      <c r="L38" s="332">
        <v>4757</v>
      </c>
      <c r="M38" s="332">
        <v>4795</v>
      </c>
      <c r="N38" s="312"/>
      <c r="O38" s="333" t="str">
        <f t="shared" si="1"/>
        <v>200901</v>
      </c>
      <c r="P38" s="333" t="str">
        <f t="shared" si="1"/>
        <v>200902</v>
      </c>
      <c r="Q38" s="333" t="str">
        <f t="shared" si="1"/>
        <v>200903</v>
      </c>
      <c r="R38" s="333" t="str">
        <f t="shared" si="1"/>
        <v>200904</v>
      </c>
      <c r="S38" s="333" t="str">
        <f t="shared" si="1"/>
        <v>200905</v>
      </c>
      <c r="T38" s="333" t="str">
        <f t="shared" si="1"/>
        <v>200906</v>
      </c>
      <c r="U38" s="333" t="str">
        <f t="shared" si="1"/>
        <v>200907</v>
      </c>
      <c r="V38" s="333" t="str">
        <f t="shared" si="1"/>
        <v>200908</v>
      </c>
      <c r="W38" s="333" t="str">
        <f t="shared" si="1"/>
        <v>200909</v>
      </c>
      <c r="X38" s="333" t="str">
        <f t="shared" si="1"/>
        <v>200910</v>
      </c>
      <c r="Y38" s="333" t="str">
        <f t="shared" si="1"/>
        <v>200911</v>
      </c>
      <c r="Z38" s="333" t="str">
        <f t="shared" si="1"/>
        <v>200912</v>
      </c>
    </row>
    <row r="39" spans="1:26">
      <c r="A39" s="331">
        <v>2010</v>
      </c>
      <c r="B39" s="332">
        <v>4800</v>
      </c>
      <c r="C39" s="332">
        <v>4812</v>
      </c>
      <c r="D39" s="332">
        <v>4811</v>
      </c>
      <c r="E39" s="332">
        <v>4817</v>
      </c>
      <c r="F39" s="332">
        <v>4858</v>
      </c>
      <c r="G39" s="332">
        <v>4888</v>
      </c>
      <c r="H39" s="332">
        <v>4910</v>
      </c>
      <c r="I39" s="332">
        <v>4905</v>
      </c>
      <c r="J39" s="332">
        <v>4910</v>
      </c>
      <c r="K39" s="332">
        <v>4947</v>
      </c>
      <c r="L39" s="332">
        <v>4968</v>
      </c>
      <c r="M39" s="332">
        <v>4970</v>
      </c>
      <c r="N39" s="312"/>
      <c r="O39" s="333" t="str">
        <f t="shared" si="1"/>
        <v>201001</v>
      </c>
      <c r="P39" s="333" t="str">
        <f t="shared" si="1"/>
        <v>201002</v>
      </c>
      <c r="Q39" s="333" t="str">
        <f t="shared" si="1"/>
        <v>201003</v>
      </c>
      <c r="R39" s="333" t="str">
        <f t="shared" si="1"/>
        <v>201004</v>
      </c>
      <c r="S39" s="333" t="str">
        <f t="shared" si="1"/>
        <v>201005</v>
      </c>
      <c r="T39" s="333" t="str">
        <f t="shared" si="1"/>
        <v>201006</v>
      </c>
      <c r="U39" s="333" t="str">
        <f t="shared" si="1"/>
        <v>201007</v>
      </c>
      <c r="V39" s="333" t="str">
        <f t="shared" si="1"/>
        <v>201008</v>
      </c>
      <c r="W39" s="333" t="str">
        <f t="shared" si="1"/>
        <v>201009</v>
      </c>
      <c r="X39" s="333" t="str">
        <f t="shared" si="1"/>
        <v>201010</v>
      </c>
      <c r="Y39" s="333" t="str">
        <f t="shared" si="1"/>
        <v>201011</v>
      </c>
      <c r="Z39" s="333" t="str">
        <f t="shared" si="1"/>
        <v>201012</v>
      </c>
    </row>
    <row r="40" spans="1:26">
      <c r="A40" s="331">
        <v>2011</v>
      </c>
      <c r="B40" s="332">
        <v>4969</v>
      </c>
      <c r="C40" s="332">
        <v>5007</v>
      </c>
      <c r="D40" s="332">
        <v>5010</v>
      </c>
      <c r="E40" s="332">
        <v>5028</v>
      </c>
      <c r="F40" s="332">
        <v>5035</v>
      </c>
      <c r="G40" s="332">
        <v>5059</v>
      </c>
      <c r="H40" s="332">
        <v>5074</v>
      </c>
      <c r="I40" s="332">
        <v>5091</v>
      </c>
      <c r="J40" s="332">
        <v>5098</v>
      </c>
      <c r="K40" s="332">
        <v>5104</v>
      </c>
      <c r="L40" s="332">
        <v>5113</v>
      </c>
      <c r="M40" s="332">
        <v>5115</v>
      </c>
      <c r="N40" s="312"/>
      <c r="O40" s="333" t="str">
        <f t="shared" si="1"/>
        <v>201101</v>
      </c>
      <c r="P40" s="333" t="str">
        <f t="shared" si="1"/>
        <v>201102</v>
      </c>
      <c r="Q40" s="333" t="str">
        <f t="shared" si="1"/>
        <v>201103</v>
      </c>
      <c r="R40" s="333" t="str">
        <f t="shared" si="1"/>
        <v>201104</v>
      </c>
      <c r="S40" s="333" t="str">
        <f t="shared" si="1"/>
        <v>201105</v>
      </c>
      <c r="T40" s="333" t="str">
        <f t="shared" si="1"/>
        <v>201106</v>
      </c>
      <c r="U40" s="333" t="str">
        <f t="shared" si="1"/>
        <v>201107</v>
      </c>
      <c r="V40" s="333" t="str">
        <f t="shared" si="1"/>
        <v>201108</v>
      </c>
      <c r="W40" s="333" t="str">
        <f t="shared" si="1"/>
        <v>201109</v>
      </c>
      <c r="X40" s="333" t="str">
        <f t="shared" si="1"/>
        <v>201110</v>
      </c>
      <c r="Y40" s="333" t="str">
        <f t="shared" si="1"/>
        <v>201111</v>
      </c>
      <c r="Z40" s="333" t="str">
        <f t="shared" si="1"/>
        <v>201112</v>
      </c>
    </row>
    <row r="41" spans="1:26">
      <c r="A41" s="331">
        <v>2012</v>
      </c>
      <c r="B41" s="332">
        <v>5120</v>
      </c>
      <c r="C41" s="332">
        <v>5122</v>
      </c>
      <c r="D41" s="332">
        <v>5144</v>
      </c>
      <c r="E41" s="332">
        <v>5150</v>
      </c>
      <c r="F41" s="332">
        <v>5167</v>
      </c>
      <c r="G41" s="332">
        <v>5170</v>
      </c>
      <c r="H41" s="332">
        <v>5184</v>
      </c>
      <c r="I41" s="332">
        <v>5204</v>
      </c>
      <c r="J41" s="332">
        <v>5195</v>
      </c>
      <c r="K41" s="332">
        <v>5204</v>
      </c>
      <c r="L41" s="332">
        <v>5213</v>
      </c>
      <c r="M41" s="332">
        <v>5210</v>
      </c>
      <c r="N41" s="312"/>
      <c r="O41" s="333" t="str">
        <f t="shared" si="1"/>
        <v>201201</v>
      </c>
      <c r="P41" s="333" t="str">
        <f t="shared" si="1"/>
        <v>201202</v>
      </c>
      <c r="Q41" s="333" t="str">
        <f t="shared" si="1"/>
        <v>201203</v>
      </c>
      <c r="R41" s="333" t="str">
        <f t="shared" si="1"/>
        <v>201204</v>
      </c>
      <c r="S41" s="333" t="str">
        <f t="shared" si="1"/>
        <v>201205</v>
      </c>
      <c r="T41" s="333" t="str">
        <f t="shared" si="1"/>
        <v>201206</v>
      </c>
      <c r="U41" s="333" t="str">
        <f t="shared" si="1"/>
        <v>201207</v>
      </c>
      <c r="V41" s="333" t="str">
        <f t="shared" si="1"/>
        <v>201208</v>
      </c>
      <c r="W41" s="333" t="str">
        <f t="shared" si="1"/>
        <v>201209</v>
      </c>
      <c r="X41" s="333" t="str">
        <f t="shared" si="1"/>
        <v>201210</v>
      </c>
      <c r="Y41" s="333" t="str">
        <f t="shared" si="1"/>
        <v>201211</v>
      </c>
      <c r="Z41" s="333" t="str">
        <f t="shared" si="1"/>
        <v>201212</v>
      </c>
    </row>
    <row r="42" spans="1:26">
      <c r="A42" s="331">
        <v>2013</v>
      </c>
      <c r="B42" s="332">
        <v>5226</v>
      </c>
      <c r="C42" s="332">
        <v>5246</v>
      </c>
      <c r="D42" s="332">
        <v>5249</v>
      </c>
      <c r="E42" s="332">
        <v>5257</v>
      </c>
      <c r="F42" s="332">
        <v>5272</v>
      </c>
      <c r="G42" s="332">
        <v>5286</v>
      </c>
      <c r="H42" s="332">
        <v>5281</v>
      </c>
      <c r="I42" s="332">
        <v>5277</v>
      </c>
      <c r="J42" s="332">
        <v>5285</v>
      </c>
      <c r="K42" s="332">
        <v>5308</v>
      </c>
      <c r="L42" s="332">
        <v>5317</v>
      </c>
      <c r="M42" s="332">
        <v>5326</v>
      </c>
      <c r="N42" s="312"/>
      <c r="O42" s="333" t="str">
        <f t="shared" si="1"/>
        <v>201301</v>
      </c>
      <c r="P42" s="333" t="str">
        <f t="shared" si="1"/>
        <v>201302</v>
      </c>
      <c r="Q42" s="333" t="str">
        <f t="shared" si="1"/>
        <v>201303</v>
      </c>
      <c r="R42" s="333" t="str">
        <f t="shared" si="1"/>
        <v>201304</v>
      </c>
      <c r="S42" s="333" t="str">
        <f t="shared" si="1"/>
        <v>201305</v>
      </c>
      <c r="T42" s="333" t="str">
        <f t="shared" si="1"/>
        <v>201306</v>
      </c>
      <c r="U42" s="333" t="str">
        <f t="shared" si="1"/>
        <v>201307</v>
      </c>
      <c r="V42" s="333" t="str">
        <f t="shared" si="1"/>
        <v>201308</v>
      </c>
      <c r="W42" s="333" t="str">
        <f t="shared" si="1"/>
        <v>201309</v>
      </c>
      <c r="X42" s="333" t="str">
        <f t="shared" si="1"/>
        <v>201310</v>
      </c>
      <c r="Y42" s="333" t="str">
        <f t="shared" si="1"/>
        <v>201311</v>
      </c>
      <c r="Z42" s="333" t="str">
        <f t="shared" si="1"/>
        <v>201312</v>
      </c>
    </row>
    <row r="43" spans="1:26">
      <c r="A43" s="331">
        <v>2014</v>
      </c>
      <c r="B43" s="332">
        <v>5324</v>
      </c>
      <c r="C43" s="332">
        <v>5321</v>
      </c>
      <c r="D43" s="332">
        <v>5336</v>
      </c>
      <c r="E43" s="332">
        <v>5357</v>
      </c>
      <c r="F43" s="332">
        <v>5370</v>
      </c>
      <c r="G43" s="332">
        <v>5375</v>
      </c>
      <c r="H43" s="332">
        <v>5383</v>
      </c>
      <c r="I43" s="332">
        <v>5390</v>
      </c>
      <c r="J43" s="332">
        <v>5409</v>
      </c>
      <c r="K43" s="332">
        <v>5442</v>
      </c>
      <c r="L43" s="332">
        <v>5468</v>
      </c>
      <c r="M43" s="332">
        <v>5480</v>
      </c>
      <c r="N43" s="312"/>
      <c r="O43" s="333" t="str">
        <f t="shared" si="1"/>
        <v>201401</v>
      </c>
      <c r="P43" s="333" t="str">
        <f t="shared" si="1"/>
        <v>201402</v>
      </c>
      <c r="Q43" s="333" t="str">
        <f t="shared" si="1"/>
        <v>201403</v>
      </c>
      <c r="R43" s="333" t="str">
        <f t="shared" si="1"/>
        <v>201404</v>
      </c>
      <c r="S43" s="333" t="str">
        <f t="shared" si="1"/>
        <v>201405</v>
      </c>
      <c r="T43" s="333" t="str">
        <f t="shared" si="1"/>
        <v>201406</v>
      </c>
      <c r="U43" s="333" t="str">
        <f t="shared" si="1"/>
        <v>201407</v>
      </c>
      <c r="V43" s="333" t="str">
        <f t="shared" si="1"/>
        <v>201408</v>
      </c>
      <c r="W43" s="333" t="str">
        <f t="shared" si="1"/>
        <v>201409</v>
      </c>
      <c r="X43" s="333" t="str">
        <f t="shared" si="1"/>
        <v>201410</v>
      </c>
      <c r="Y43" s="333" t="str">
        <f t="shared" si="1"/>
        <v>201411</v>
      </c>
      <c r="Z43" s="333" t="str">
        <f t="shared" si="1"/>
        <v>201412</v>
      </c>
    </row>
    <row r="44" spans="1:26">
      <c r="A44" s="331">
        <v>2015</v>
      </c>
      <c r="B44" s="332">
        <v>5497</v>
      </c>
      <c r="C44" s="332">
        <v>5488.1</v>
      </c>
      <c r="D44" s="332">
        <v>5487.34</v>
      </c>
      <c r="E44" s="332">
        <v>5500.82</v>
      </c>
      <c r="F44" s="332">
        <v>5490.44</v>
      </c>
      <c r="G44" s="332">
        <v>5507.38</v>
      </c>
      <c r="H44" s="332">
        <v>5510.47</v>
      </c>
      <c r="I44" s="332">
        <v>5514.7</v>
      </c>
      <c r="J44" s="332">
        <v>5541.1</v>
      </c>
      <c r="K44" s="332">
        <v>5543.93</v>
      </c>
      <c r="L44" s="332">
        <v>5563.51</v>
      </c>
      <c r="M44" s="332">
        <v>5560.64</v>
      </c>
      <c r="N44" s="312"/>
      <c r="O44" s="333" t="str">
        <f t="shared" si="1"/>
        <v>201501</v>
      </c>
      <c r="P44" s="333" t="str">
        <f t="shared" si="1"/>
        <v>201502</v>
      </c>
      <c r="Q44" s="333" t="str">
        <f t="shared" si="1"/>
        <v>201503</v>
      </c>
      <c r="R44" s="333" t="str">
        <f t="shared" si="1"/>
        <v>201504</v>
      </c>
      <c r="S44" s="333" t="str">
        <f t="shared" si="1"/>
        <v>201505</v>
      </c>
      <c r="T44" s="333" t="str">
        <f t="shared" si="1"/>
        <v>201506</v>
      </c>
      <c r="U44" s="333" t="str">
        <f t="shared" si="1"/>
        <v>201507</v>
      </c>
      <c r="V44" s="333" t="str">
        <f t="shared" si="1"/>
        <v>201508</v>
      </c>
      <c r="W44" s="333" t="str">
        <f t="shared" si="1"/>
        <v>201509</v>
      </c>
      <c r="X44" s="333" t="str">
        <f t="shared" si="1"/>
        <v>201510</v>
      </c>
      <c r="Y44" s="333" t="str">
        <f t="shared" si="1"/>
        <v>201511</v>
      </c>
      <c r="Z44" s="333" t="str">
        <f t="shared" si="1"/>
        <v>201512</v>
      </c>
    </row>
    <row r="45" spans="1:26">
      <c r="A45" s="331">
        <v>2016</v>
      </c>
      <c r="B45" s="332">
        <v>5561.76</v>
      </c>
      <c r="C45" s="332">
        <v>5588.02</v>
      </c>
      <c r="D45" s="332">
        <v>5605.55</v>
      </c>
      <c r="E45" s="332">
        <v>5632.95</v>
      </c>
      <c r="F45" s="332">
        <v>5637.09</v>
      </c>
      <c r="G45" s="332">
        <v>5636.49</v>
      </c>
      <c r="H45" s="332">
        <v>5659.51</v>
      </c>
      <c r="I45" s="332">
        <v>5669.5</v>
      </c>
      <c r="J45" s="332">
        <v>5657.28</v>
      </c>
      <c r="K45" s="332">
        <v>5681.63</v>
      </c>
      <c r="L45" s="332">
        <v>5690.35</v>
      </c>
      <c r="M45" s="332">
        <v>5722.81</v>
      </c>
      <c r="N45" s="312"/>
      <c r="O45" s="333" t="str">
        <f t="shared" si="1"/>
        <v>201601</v>
      </c>
      <c r="P45" s="333" t="str">
        <f t="shared" si="1"/>
        <v>201602</v>
      </c>
      <c r="Q45" s="333" t="str">
        <f t="shared" si="1"/>
        <v>201603</v>
      </c>
      <c r="R45" s="333" t="str">
        <f t="shared" si="1"/>
        <v>201604</v>
      </c>
      <c r="S45" s="333" t="str">
        <f t="shared" si="1"/>
        <v>201605</v>
      </c>
      <c r="T45" s="333" t="str">
        <f t="shared" si="1"/>
        <v>201606</v>
      </c>
      <c r="U45" s="333" t="str">
        <f t="shared" si="1"/>
        <v>201607</v>
      </c>
      <c r="V45" s="333" t="str">
        <f t="shared" si="1"/>
        <v>201608</v>
      </c>
      <c r="W45" s="333" t="str">
        <f t="shared" si="1"/>
        <v>201609</v>
      </c>
      <c r="X45" s="333" t="str">
        <f t="shared" si="1"/>
        <v>201610</v>
      </c>
      <c r="Y45" s="333" t="str">
        <f t="shared" si="1"/>
        <v>201611</v>
      </c>
      <c r="Z45" s="333" t="str">
        <f t="shared" si="1"/>
        <v>201612</v>
      </c>
    </row>
    <row r="46" spans="1:26">
      <c r="A46" s="331">
        <v>2017</v>
      </c>
      <c r="B46" s="332">
        <v>5733.88</v>
      </c>
      <c r="C46" s="332">
        <v>5742.06</v>
      </c>
      <c r="D46" s="332">
        <v>5789.41</v>
      </c>
      <c r="E46" s="332">
        <v>5801.76</v>
      </c>
      <c r="F46" s="332">
        <v>5815.76</v>
      </c>
      <c r="G46" s="332">
        <v>5826.4</v>
      </c>
      <c r="H46" s="332">
        <v>5844.3</v>
      </c>
      <c r="I46" s="332">
        <v>5862.24</v>
      </c>
      <c r="J46" s="332">
        <v>5872.8</v>
      </c>
      <c r="K46" s="332">
        <v>5866.92</v>
      </c>
      <c r="L46" s="332">
        <v>5901.86</v>
      </c>
      <c r="M46" s="332">
        <v>5913.81</v>
      </c>
      <c r="N46" s="312"/>
      <c r="O46" s="333" t="str">
        <f t="shared" si="1"/>
        <v>201701</v>
      </c>
      <c r="P46" s="333" t="str">
        <f t="shared" si="1"/>
        <v>201702</v>
      </c>
      <c r="Q46" s="333" t="str">
        <f t="shared" si="1"/>
        <v>201703</v>
      </c>
      <c r="R46" s="333" t="str">
        <f t="shared" si="1"/>
        <v>201704</v>
      </c>
      <c r="S46" s="333" t="str">
        <f t="shared" si="1"/>
        <v>201705</v>
      </c>
      <c r="T46" s="333" t="str">
        <f t="shared" si="1"/>
        <v>201706</v>
      </c>
      <c r="U46" s="333" t="str">
        <f t="shared" si="1"/>
        <v>201707</v>
      </c>
      <c r="V46" s="333" t="str">
        <f t="shared" si="1"/>
        <v>201708</v>
      </c>
      <c r="W46" s="333" t="str">
        <f t="shared" si="1"/>
        <v>201709</v>
      </c>
      <c r="X46" s="333" t="str">
        <f t="shared" si="1"/>
        <v>201710</v>
      </c>
      <c r="Y46" s="333" t="str">
        <f t="shared" si="1"/>
        <v>201711</v>
      </c>
      <c r="Z46" s="333" t="str">
        <f t="shared" si="1"/>
        <v>201712</v>
      </c>
    </row>
    <row r="47" spans="1:26">
      <c r="A47" s="331">
        <v>2018</v>
      </c>
      <c r="B47" s="332">
        <v>5921.32</v>
      </c>
      <c r="C47" s="332">
        <v>5932.09</v>
      </c>
      <c r="D47" s="332">
        <v>5942.13</v>
      </c>
      <c r="E47" s="332">
        <v>5954.16</v>
      </c>
      <c r="F47" s="332">
        <v>5995.06</v>
      </c>
      <c r="G47" s="332">
        <v>6004.8</v>
      </c>
      <c r="H47" s="332">
        <v>6042.91</v>
      </c>
      <c r="I47" s="332">
        <v>6060.07</v>
      </c>
      <c r="J47" s="332">
        <v>6081.34</v>
      </c>
      <c r="K47" s="332">
        <v>6092.62</v>
      </c>
      <c r="L47" s="332">
        <v>6093.13</v>
      </c>
      <c r="M47" s="332">
        <v>6105.29</v>
      </c>
      <c r="N47" s="312"/>
      <c r="O47" s="333" t="str">
        <f t="shared" si="1"/>
        <v>201801</v>
      </c>
      <c r="P47" s="333" t="str">
        <f t="shared" si="1"/>
        <v>201802</v>
      </c>
      <c r="Q47" s="333" t="str">
        <f t="shared" si="1"/>
        <v>201803</v>
      </c>
      <c r="R47" s="333" t="str">
        <f t="shared" si="1"/>
        <v>201804</v>
      </c>
      <c r="S47" s="333" t="str">
        <f t="shared" si="1"/>
        <v>201805</v>
      </c>
      <c r="T47" s="333" t="str">
        <f t="shared" si="1"/>
        <v>201806</v>
      </c>
      <c r="U47" s="333" t="str">
        <f t="shared" si="1"/>
        <v>201807</v>
      </c>
      <c r="V47" s="333" t="str">
        <f t="shared" si="1"/>
        <v>201808</v>
      </c>
      <c r="W47" s="333" t="str">
        <f t="shared" si="1"/>
        <v>201809</v>
      </c>
      <c r="X47" s="333" t="str">
        <f t="shared" si="1"/>
        <v>201810</v>
      </c>
      <c r="Y47" s="333" t="str">
        <f t="shared" si="1"/>
        <v>201811</v>
      </c>
      <c r="Z47" s="333" t="str">
        <f t="shared" si="1"/>
        <v>201812</v>
      </c>
    </row>
    <row r="48" spans="1:26">
      <c r="A48" s="331">
        <v>2019</v>
      </c>
      <c r="B48" s="332">
        <v>6107.7</v>
      </c>
      <c r="C48" s="332">
        <v>6108.09</v>
      </c>
      <c r="D48" s="332">
        <v>6109.67</v>
      </c>
      <c r="E48" s="332">
        <v>6109.83</v>
      </c>
      <c r="F48" s="332">
        <v>6111.77</v>
      </c>
      <c r="G48" s="332">
        <v>6118.34</v>
      </c>
      <c r="H48" s="332">
        <v>6131.42</v>
      </c>
      <c r="I48" s="332">
        <v>6146.81</v>
      </c>
      <c r="J48" s="332">
        <v>6146.98</v>
      </c>
      <c r="K48" s="332">
        <v>6168.75</v>
      </c>
      <c r="L48" s="332">
        <v>6179.22</v>
      </c>
      <c r="M48" s="332">
        <v>6199.11</v>
      </c>
      <c r="N48" s="312"/>
      <c r="O48" s="333" t="str">
        <f t="shared" si="1"/>
        <v>201901</v>
      </c>
      <c r="P48" s="333" t="str">
        <f t="shared" si="1"/>
        <v>201902</v>
      </c>
      <c r="Q48" s="333" t="str">
        <f t="shared" si="1"/>
        <v>201903</v>
      </c>
      <c r="R48" s="333" t="str">
        <f t="shared" si="1"/>
        <v>201904</v>
      </c>
      <c r="S48" s="333" t="str">
        <f t="shared" si="1"/>
        <v>201905</v>
      </c>
      <c r="T48" s="333" t="str">
        <f t="shared" si="1"/>
        <v>201906</v>
      </c>
      <c r="U48" s="333" t="str">
        <f t="shared" si="1"/>
        <v>201907</v>
      </c>
      <c r="V48" s="333" t="str">
        <f t="shared" si="1"/>
        <v>201908</v>
      </c>
      <c r="W48" s="333" t="str">
        <f t="shared" si="1"/>
        <v>201909</v>
      </c>
      <c r="X48" s="333" t="str">
        <f t="shared" si="1"/>
        <v>201910</v>
      </c>
      <c r="Y48" s="333" t="str">
        <f t="shared" si="1"/>
        <v>201911</v>
      </c>
      <c r="Z48" s="333" t="str">
        <f t="shared" si="1"/>
        <v>201912</v>
      </c>
    </row>
    <row r="49" spans="1:26">
      <c r="A49" s="331">
        <v>2020</v>
      </c>
      <c r="B49" s="332">
        <v>6213.68</v>
      </c>
      <c r="C49" s="332">
        <v>6217.29</v>
      </c>
      <c r="D49" s="332">
        <v>6218.26</v>
      </c>
      <c r="E49" s="332">
        <v>6233.93</v>
      </c>
      <c r="F49" s="332">
        <v>6239.42</v>
      </c>
      <c r="G49" s="332">
        <v>6246.69</v>
      </c>
      <c r="H49" s="332">
        <v>6258.19</v>
      </c>
      <c r="I49" s="332">
        <v>6267.65</v>
      </c>
      <c r="J49" s="332">
        <v>6300.3</v>
      </c>
      <c r="K49" s="332">
        <v>6343.55</v>
      </c>
      <c r="L49" s="332">
        <v>6391.74</v>
      </c>
      <c r="M49" s="332">
        <v>6445.14</v>
      </c>
      <c r="N49" s="312"/>
      <c r="O49" s="333" t="str">
        <f t="shared" si="1"/>
        <v>202001</v>
      </c>
      <c r="P49" s="333" t="str">
        <f t="shared" si="1"/>
        <v>202002</v>
      </c>
      <c r="Q49" s="333" t="str">
        <f t="shared" si="1"/>
        <v>202003</v>
      </c>
      <c r="R49" s="333" t="str">
        <f t="shared" si="1"/>
        <v>202004</v>
      </c>
      <c r="S49" s="333" t="str">
        <f t="shared" si="1"/>
        <v>202005</v>
      </c>
      <c r="T49" s="333" t="str">
        <f t="shared" si="1"/>
        <v>202006</v>
      </c>
      <c r="U49" s="333" t="str">
        <f t="shared" si="1"/>
        <v>202007</v>
      </c>
      <c r="V49" s="333" t="str">
        <f t="shared" si="1"/>
        <v>202008</v>
      </c>
      <c r="W49" s="333" t="str">
        <f t="shared" si="1"/>
        <v>202009</v>
      </c>
      <c r="X49" s="333" t="str">
        <f t="shared" si="1"/>
        <v>202010</v>
      </c>
      <c r="Y49" s="333" t="str">
        <f t="shared" si="1"/>
        <v>202011</v>
      </c>
      <c r="Z49" s="333" t="str">
        <f t="shared" si="1"/>
        <v>202012</v>
      </c>
    </row>
    <row r="50" spans="1:26">
      <c r="A50" s="331">
        <v>2021</v>
      </c>
      <c r="B50" s="332">
        <v>6459.83</v>
      </c>
      <c r="C50" s="332">
        <v>6493.19</v>
      </c>
      <c r="D50" s="332">
        <v>6545.22</v>
      </c>
      <c r="E50" s="332">
        <v>6612.5</v>
      </c>
      <c r="F50" s="332">
        <v>6754.51</v>
      </c>
      <c r="G50" s="332">
        <v>6876.96</v>
      </c>
      <c r="H50" s="332">
        <v>7006.95</v>
      </c>
      <c r="I50" s="332">
        <v>7201.88</v>
      </c>
      <c r="J50" s="332">
        <v>7214.29</v>
      </c>
      <c r="K50" s="332">
        <v>7244.9</v>
      </c>
      <c r="L50" s="332">
        <v>7255.67</v>
      </c>
      <c r="M50" s="332">
        <v>7289.5</v>
      </c>
      <c r="N50" s="312"/>
      <c r="O50" s="333" t="str">
        <f t="shared" si="1"/>
        <v>202101</v>
      </c>
      <c r="P50" s="333" t="str">
        <f t="shared" si="1"/>
        <v>202102</v>
      </c>
      <c r="Q50" s="333" t="str">
        <f t="shared" si="1"/>
        <v>202103</v>
      </c>
      <c r="R50" s="333" t="str">
        <f t="shared" si="1"/>
        <v>202104</v>
      </c>
      <c r="S50" s="333" t="str">
        <f t="shared" si="1"/>
        <v>202105</v>
      </c>
      <c r="T50" s="333" t="str">
        <f t="shared" si="1"/>
        <v>202106</v>
      </c>
      <c r="U50" s="333" t="str">
        <f t="shared" si="1"/>
        <v>202107</v>
      </c>
      <c r="V50" s="333" t="str">
        <f t="shared" si="1"/>
        <v>202108</v>
      </c>
      <c r="W50" s="333" t="str">
        <f t="shared" si="1"/>
        <v>202109</v>
      </c>
      <c r="X50" s="333" t="str">
        <f t="shared" si="1"/>
        <v>202110</v>
      </c>
      <c r="Y50" s="333" t="str">
        <f t="shared" si="1"/>
        <v>202111</v>
      </c>
      <c r="Z50" s="333" t="str">
        <f t="shared" si="1"/>
        <v>202112</v>
      </c>
    </row>
    <row r="51" spans="1:26">
      <c r="A51" s="331">
        <v>2022</v>
      </c>
      <c r="B51" s="332">
        <v>7359.09</v>
      </c>
      <c r="C51" s="332">
        <v>7457.68</v>
      </c>
      <c r="D51" s="332">
        <v>7565.14</v>
      </c>
      <c r="E51" s="332">
        <v>7677.45</v>
      </c>
      <c r="F51" s="332">
        <v>7785.64</v>
      </c>
      <c r="G51" s="332">
        <v>7889.98</v>
      </c>
      <c r="H51" s="332">
        <v>7950.39</v>
      </c>
      <c r="I51" s="332">
        <v>7952.5</v>
      </c>
      <c r="J51" s="332">
        <v>7958.27</v>
      </c>
      <c r="K51" s="332">
        <v>7965.04</v>
      </c>
      <c r="L51" s="332">
        <v>7966.9</v>
      </c>
      <c r="M51" s="332">
        <v>7971.96</v>
      </c>
      <c r="N51" s="312"/>
      <c r="O51" s="333" t="str">
        <f t="shared" si="1"/>
        <v>202201</v>
      </c>
      <c r="P51" s="333" t="str">
        <f t="shared" si="1"/>
        <v>202202</v>
      </c>
      <c r="Q51" s="333" t="str">
        <f t="shared" si="1"/>
        <v>202203</v>
      </c>
      <c r="R51" s="333" t="str">
        <f t="shared" si="1"/>
        <v>202204</v>
      </c>
      <c r="S51" s="333" t="str">
        <f t="shared" si="1"/>
        <v>202205</v>
      </c>
      <c r="T51" s="333" t="str">
        <f t="shared" si="1"/>
        <v>202206</v>
      </c>
      <c r="U51" s="333" t="str">
        <f t="shared" si="1"/>
        <v>202207</v>
      </c>
      <c r="V51" s="333" t="str">
        <f t="shared" si="1"/>
        <v>202208</v>
      </c>
      <c r="W51" s="333" t="str">
        <f t="shared" si="1"/>
        <v>202209</v>
      </c>
      <c r="X51" s="333" t="str">
        <f t="shared" si="1"/>
        <v>202210</v>
      </c>
      <c r="Y51" s="333" t="str">
        <f t="shared" si="1"/>
        <v>202211</v>
      </c>
      <c r="Z51" s="333" t="str">
        <f t="shared" si="1"/>
        <v>202212</v>
      </c>
    </row>
    <row r="52" spans="1:26">
      <c r="A52" s="331">
        <v>2023</v>
      </c>
      <c r="B52" s="427">
        <v>7976.68</v>
      </c>
      <c r="C52" s="427">
        <v>7989.84</v>
      </c>
      <c r="D52" s="427">
        <v>8000.61</v>
      </c>
      <c r="E52" s="427">
        <v>8000.86</v>
      </c>
      <c r="F52" s="427">
        <v>8054.43</v>
      </c>
      <c r="G52" s="427">
        <v>8095.33</v>
      </c>
      <c r="H52" s="427">
        <v>8179.87</v>
      </c>
      <c r="I52" s="427">
        <v>8227.44</v>
      </c>
      <c r="J52" s="427">
        <v>8240.5499999999993</v>
      </c>
      <c r="K52" s="427">
        <v>8255.58</v>
      </c>
      <c r="L52" s="427">
        <v>8268.19</v>
      </c>
      <c r="M52" s="427">
        <v>8272.36</v>
      </c>
      <c r="N52" s="312"/>
      <c r="O52" s="333" t="str">
        <f t="shared" si="1"/>
        <v>202301</v>
      </c>
      <c r="P52" s="333" t="str">
        <f t="shared" si="1"/>
        <v>202302</v>
      </c>
      <c r="Q52" s="333" t="str">
        <f t="shared" si="1"/>
        <v>202303</v>
      </c>
      <c r="R52" s="333" t="str">
        <f t="shared" si="1"/>
        <v>202304</v>
      </c>
      <c r="S52" s="333" t="str">
        <f t="shared" si="1"/>
        <v>202305</v>
      </c>
      <c r="T52" s="333" t="str">
        <f t="shared" si="1"/>
        <v>202306</v>
      </c>
      <c r="U52" s="333" t="str">
        <f t="shared" si="1"/>
        <v>202307</v>
      </c>
      <c r="V52" s="333" t="str">
        <f t="shared" si="1"/>
        <v>202308</v>
      </c>
      <c r="W52" s="333" t="str">
        <f t="shared" si="1"/>
        <v>202309</v>
      </c>
      <c r="X52" s="333" t="str">
        <f t="shared" si="1"/>
        <v>202310</v>
      </c>
      <c r="Y52" s="333" t="str">
        <f t="shared" si="1"/>
        <v>202311</v>
      </c>
      <c r="Z52" s="333" t="str">
        <f t="shared" si="1"/>
        <v>202312</v>
      </c>
    </row>
    <row r="53" spans="1:26">
      <c r="A53" s="331">
        <v>2024</v>
      </c>
      <c r="B53" s="427">
        <v>8277.69</v>
      </c>
      <c r="C53" s="427">
        <v>8288.93</v>
      </c>
      <c r="D53" s="427">
        <v>8288.93</v>
      </c>
      <c r="E53" s="334">
        <f t="shared" ref="D53:M67" si="2">IF(AND(R53&gt;=$B$4,R53&lt;=$C$4),(1+$B$7/12)*D53,(1+$E$7/12)*D53)</f>
        <v>8330.3746499999997</v>
      </c>
      <c r="F53" s="334">
        <f t="shared" si="2"/>
        <v>8372.0265232499987</v>
      </c>
      <c r="G53" s="334">
        <f t="shared" si="2"/>
        <v>8413.8866558662485</v>
      </c>
      <c r="H53" s="334">
        <f t="shared" si="2"/>
        <v>8455.9560891455785</v>
      </c>
      <c r="I53" s="334">
        <f t="shared" si="2"/>
        <v>8498.2358695913063</v>
      </c>
      <c r="J53" s="334">
        <f t="shared" si="2"/>
        <v>8540.7270489392613</v>
      </c>
      <c r="K53" s="334">
        <f t="shared" si="2"/>
        <v>8583.4306841839571</v>
      </c>
      <c r="L53" s="334">
        <f t="shared" si="2"/>
        <v>8626.3478376048752</v>
      </c>
      <c r="M53" s="334">
        <f t="shared" si="2"/>
        <v>8669.479576792899</v>
      </c>
      <c r="N53" s="312"/>
      <c r="O53" s="333" t="str">
        <f t="shared" si="1"/>
        <v>202401</v>
      </c>
      <c r="P53" s="333" t="str">
        <f t="shared" si="1"/>
        <v>202402</v>
      </c>
      <c r="Q53" s="333" t="str">
        <f t="shared" si="1"/>
        <v>202403</v>
      </c>
      <c r="R53" s="333" t="str">
        <f t="shared" si="1"/>
        <v>202404</v>
      </c>
      <c r="S53" s="333" t="str">
        <f t="shared" si="1"/>
        <v>202405</v>
      </c>
      <c r="T53" s="333" t="str">
        <f t="shared" si="1"/>
        <v>202406</v>
      </c>
      <c r="U53" s="333" t="str">
        <f t="shared" si="1"/>
        <v>202407</v>
      </c>
      <c r="V53" s="333" t="str">
        <f t="shared" si="1"/>
        <v>202408</v>
      </c>
      <c r="W53" s="333" t="str">
        <f t="shared" si="1"/>
        <v>202409</v>
      </c>
      <c r="X53" s="333" t="str">
        <f t="shared" si="1"/>
        <v>202410</v>
      </c>
      <c r="Y53" s="333" t="str">
        <f t="shared" si="1"/>
        <v>202411</v>
      </c>
      <c r="Z53" s="333" t="str">
        <f t="shared" si="1"/>
        <v>202412</v>
      </c>
    </row>
    <row r="54" spans="1:26">
      <c r="A54" s="331">
        <v>2025</v>
      </c>
      <c r="B54" s="334">
        <f t="shared" ref="B54:B99" si="3">IF(AND(O54&gt;=$B$4,O54&lt;=$C$4),(1+$B$7/12)*$M53,(1+$E$7/12)*$M53)</f>
        <v>8712.8269746768619</v>
      </c>
      <c r="C54" s="334">
        <f t="shared" ref="C54:M89" si="4">IF(AND(P54&gt;=$B$4,P54&lt;=$C$4),(1+$B$7/12)*B54,(1+$E$7/12)*B54)</f>
        <v>8756.3911095502444</v>
      </c>
      <c r="D54" s="334">
        <f t="shared" si="2"/>
        <v>8800.1730650979953</v>
      </c>
      <c r="E54" s="334">
        <f t="shared" si="2"/>
        <v>8844.1739304234852</v>
      </c>
      <c r="F54" s="334">
        <f t="shared" si="2"/>
        <v>8888.3948000756009</v>
      </c>
      <c r="G54" s="334">
        <f t="shared" si="2"/>
        <v>8932.8367740759786</v>
      </c>
      <c r="H54" s="334">
        <f t="shared" si="2"/>
        <v>8977.5009579463567</v>
      </c>
      <c r="I54" s="334">
        <f t="shared" si="2"/>
        <v>9022.3884627360876</v>
      </c>
      <c r="J54" s="334">
        <f t="shared" si="2"/>
        <v>9067.5004050497664</v>
      </c>
      <c r="K54" s="334">
        <f t="shared" si="2"/>
        <v>9112.8379070750143</v>
      </c>
      <c r="L54" s="334">
        <f t="shared" si="2"/>
        <v>9158.402096610389</v>
      </c>
      <c r="M54" s="334">
        <f t="shared" si="2"/>
        <v>9204.1941070934408</v>
      </c>
      <c r="N54" s="312"/>
      <c r="O54" s="333" t="str">
        <f t="shared" si="1"/>
        <v>202501</v>
      </c>
      <c r="P54" s="333" t="str">
        <f t="shared" si="1"/>
        <v>202502</v>
      </c>
      <c r="Q54" s="333" t="str">
        <f t="shared" si="1"/>
        <v>202503</v>
      </c>
      <c r="R54" s="333" t="str">
        <f t="shared" si="1"/>
        <v>202504</v>
      </c>
      <c r="S54" s="333" t="str">
        <f t="shared" si="1"/>
        <v>202505</v>
      </c>
      <c r="T54" s="333" t="str">
        <f t="shared" si="1"/>
        <v>202506</v>
      </c>
      <c r="U54" s="333" t="str">
        <f t="shared" si="1"/>
        <v>202507</v>
      </c>
      <c r="V54" s="333" t="str">
        <f t="shared" si="1"/>
        <v>202508</v>
      </c>
      <c r="W54" s="333" t="str">
        <f t="shared" si="1"/>
        <v>202509</v>
      </c>
      <c r="X54" s="333" t="str">
        <f t="shared" si="1"/>
        <v>202510</v>
      </c>
      <c r="Y54" s="333" t="str">
        <f t="shared" si="1"/>
        <v>202511</v>
      </c>
      <c r="Z54" s="333" t="str">
        <f t="shared" si="1"/>
        <v>202512</v>
      </c>
    </row>
    <row r="55" spans="1:26">
      <c r="A55" s="331">
        <v>2026</v>
      </c>
      <c r="B55" s="334">
        <f t="shared" si="3"/>
        <v>9250.2150776289072</v>
      </c>
      <c r="C55" s="334">
        <f t="shared" si="4"/>
        <v>9296.4661530170506</v>
      </c>
      <c r="D55" s="334">
        <f t="shared" si="2"/>
        <v>9342.9484837821346</v>
      </c>
      <c r="E55" s="334">
        <f t="shared" si="2"/>
        <v>9389.6632262010444</v>
      </c>
      <c r="F55" s="334">
        <f t="shared" si="2"/>
        <v>9436.611542332048</v>
      </c>
      <c r="G55" s="334">
        <f t="shared" si="2"/>
        <v>9483.7946000437078</v>
      </c>
      <c r="H55" s="334">
        <f t="shared" si="2"/>
        <v>9531.2135730439259</v>
      </c>
      <c r="I55" s="334">
        <f t="shared" si="2"/>
        <v>9578.8696409091444</v>
      </c>
      <c r="J55" s="334">
        <f t="shared" si="2"/>
        <v>9626.7639891136896</v>
      </c>
      <c r="K55" s="334">
        <f t="shared" si="2"/>
        <v>9674.8978090592573</v>
      </c>
      <c r="L55" s="334">
        <f t="shared" si="2"/>
        <v>9723.2722981045517</v>
      </c>
      <c r="M55" s="334">
        <f t="shared" si="2"/>
        <v>9771.8886595950735</v>
      </c>
      <c r="N55" s="312"/>
      <c r="O55" s="333" t="str">
        <f t="shared" ref="O55:Z76" si="5">$A55&amp;TEXT(B$18,"00")</f>
        <v>202601</v>
      </c>
      <c r="P55" s="333" t="str">
        <f t="shared" si="5"/>
        <v>202602</v>
      </c>
      <c r="Q55" s="333" t="str">
        <f t="shared" si="5"/>
        <v>202603</v>
      </c>
      <c r="R55" s="333" t="str">
        <f t="shared" si="5"/>
        <v>202604</v>
      </c>
      <c r="S55" s="333" t="str">
        <f t="shared" si="5"/>
        <v>202605</v>
      </c>
      <c r="T55" s="333" t="str">
        <f t="shared" si="5"/>
        <v>202606</v>
      </c>
      <c r="U55" s="333" t="str">
        <f t="shared" si="5"/>
        <v>202607</v>
      </c>
      <c r="V55" s="333" t="str">
        <f t="shared" si="5"/>
        <v>202608</v>
      </c>
      <c r="W55" s="333" t="str">
        <f t="shared" si="5"/>
        <v>202609</v>
      </c>
      <c r="X55" s="333" t="str">
        <f t="shared" si="5"/>
        <v>202610</v>
      </c>
      <c r="Y55" s="333" t="str">
        <f t="shared" si="5"/>
        <v>202611</v>
      </c>
      <c r="Z55" s="333" t="str">
        <f t="shared" si="5"/>
        <v>202612</v>
      </c>
    </row>
    <row r="56" spans="1:26">
      <c r="A56" s="331">
        <v>2027</v>
      </c>
      <c r="B56" s="334">
        <f t="shared" si="3"/>
        <v>9820.748102893047</v>
      </c>
      <c r="C56" s="334">
        <f t="shared" si="4"/>
        <v>9869.8518434075104</v>
      </c>
      <c r="D56" s="334">
        <f t="shared" si="2"/>
        <v>9919.2011026245473</v>
      </c>
      <c r="E56" s="334">
        <f t="shared" si="2"/>
        <v>9968.7971081376691</v>
      </c>
      <c r="F56" s="334">
        <f t="shared" si="2"/>
        <v>10018.641093678356</v>
      </c>
      <c r="G56" s="334">
        <f t="shared" si="2"/>
        <v>10068.734299146747</v>
      </c>
      <c r="H56" s="334">
        <f t="shared" si="2"/>
        <v>10119.07797064248</v>
      </c>
      <c r="I56" s="334">
        <f t="shared" si="2"/>
        <v>10169.673360495692</v>
      </c>
      <c r="J56" s="334">
        <f t="shared" si="2"/>
        <v>10220.52172729817</v>
      </c>
      <c r="K56" s="334">
        <f t="shared" si="2"/>
        <v>10271.624335934659</v>
      </c>
      <c r="L56" s="334">
        <f t="shared" si="2"/>
        <v>10322.982457614331</v>
      </c>
      <c r="M56" s="334">
        <f t="shared" si="2"/>
        <v>10374.597369902402</v>
      </c>
      <c r="N56" s="312"/>
      <c r="O56" s="333" t="str">
        <f t="shared" si="5"/>
        <v>202701</v>
      </c>
      <c r="P56" s="333" t="str">
        <f t="shared" si="5"/>
        <v>202702</v>
      </c>
      <c r="Q56" s="333" t="str">
        <f t="shared" si="5"/>
        <v>202703</v>
      </c>
      <c r="R56" s="333" t="str">
        <f t="shared" si="5"/>
        <v>202704</v>
      </c>
      <c r="S56" s="333" t="str">
        <f t="shared" si="5"/>
        <v>202705</v>
      </c>
      <c r="T56" s="333" t="str">
        <f t="shared" si="5"/>
        <v>202706</v>
      </c>
      <c r="U56" s="333" t="str">
        <f t="shared" si="5"/>
        <v>202707</v>
      </c>
      <c r="V56" s="333" t="str">
        <f t="shared" si="5"/>
        <v>202708</v>
      </c>
      <c r="W56" s="333" t="str">
        <f t="shared" si="5"/>
        <v>202709</v>
      </c>
      <c r="X56" s="333" t="str">
        <f t="shared" si="5"/>
        <v>202710</v>
      </c>
      <c r="Y56" s="333" t="str">
        <f t="shared" si="5"/>
        <v>202711</v>
      </c>
      <c r="Z56" s="333" t="str">
        <f t="shared" si="5"/>
        <v>202712</v>
      </c>
    </row>
    <row r="57" spans="1:26">
      <c r="A57" s="331">
        <v>2028</v>
      </c>
      <c r="B57" s="334">
        <f t="shared" si="3"/>
        <v>10426.470356751912</v>
      </c>
      <c r="C57" s="334">
        <f t="shared" si="4"/>
        <v>10478.602708535671</v>
      </c>
      <c r="D57" s="334">
        <f t="shared" si="2"/>
        <v>10530.995722078349</v>
      </c>
      <c r="E57" s="334">
        <f t="shared" si="2"/>
        <v>10583.65070068874</v>
      </c>
      <c r="F57" s="334">
        <f t="shared" si="2"/>
        <v>10636.568954192184</v>
      </c>
      <c r="G57" s="334">
        <f t="shared" si="2"/>
        <v>10689.751798963143</v>
      </c>
      <c r="H57" s="334">
        <f t="shared" si="2"/>
        <v>10743.200557957958</v>
      </c>
      <c r="I57" s="334">
        <f t="shared" si="2"/>
        <v>10796.916560747746</v>
      </c>
      <c r="J57" s="334">
        <f t="shared" si="2"/>
        <v>10850.901143551484</v>
      </c>
      <c r="K57" s="334">
        <f t="shared" si="2"/>
        <v>10905.15564926924</v>
      </c>
      <c r="L57" s="334">
        <f t="shared" si="2"/>
        <v>10959.681427515585</v>
      </c>
      <c r="M57" s="334">
        <f t="shared" si="2"/>
        <v>11014.479834653161</v>
      </c>
      <c r="N57" s="312"/>
      <c r="O57" s="333" t="str">
        <f t="shared" si="5"/>
        <v>202801</v>
      </c>
      <c r="P57" s="333" t="str">
        <f t="shared" si="5"/>
        <v>202802</v>
      </c>
      <c r="Q57" s="333" t="str">
        <f t="shared" si="5"/>
        <v>202803</v>
      </c>
      <c r="R57" s="333" t="str">
        <f t="shared" si="5"/>
        <v>202804</v>
      </c>
      <c r="S57" s="333" t="str">
        <f t="shared" si="5"/>
        <v>202805</v>
      </c>
      <c r="T57" s="333" t="str">
        <f t="shared" si="5"/>
        <v>202806</v>
      </c>
      <c r="U57" s="333" t="str">
        <f t="shared" si="5"/>
        <v>202807</v>
      </c>
      <c r="V57" s="333" t="str">
        <f t="shared" si="5"/>
        <v>202808</v>
      </c>
      <c r="W57" s="333" t="str">
        <f t="shared" si="5"/>
        <v>202809</v>
      </c>
      <c r="X57" s="333" t="str">
        <f t="shared" si="5"/>
        <v>202810</v>
      </c>
      <c r="Y57" s="333" t="str">
        <f t="shared" si="5"/>
        <v>202811</v>
      </c>
      <c r="Z57" s="333" t="str">
        <f t="shared" si="5"/>
        <v>202812</v>
      </c>
    </row>
    <row r="58" spans="1:26">
      <c r="A58" s="331">
        <v>2029</v>
      </c>
      <c r="B58" s="334">
        <f t="shared" si="3"/>
        <v>11069.552233826425</v>
      </c>
      <c r="C58" s="334">
        <f t="shared" si="4"/>
        <v>11124.899994995556</v>
      </c>
      <c r="D58" s="334">
        <f t="shared" si="2"/>
        <v>11180.524494970532</v>
      </c>
      <c r="E58" s="334">
        <f t="shared" si="2"/>
        <v>11236.427117445384</v>
      </c>
      <c r="F58" s="334">
        <f t="shared" si="2"/>
        <v>11292.60925303261</v>
      </c>
      <c r="G58" s="334">
        <f t="shared" si="2"/>
        <v>11349.072299297772</v>
      </c>
      <c r="H58" s="334">
        <f t="shared" si="2"/>
        <v>11405.817660794259</v>
      </c>
      <c r="I58" s="334">
        <f t="shared" si="2"/>
        <v>11462.846749098229</v>
      </c>
      <c r="J58" s="334">
        <f t="shared" si="2"/>
        <v>11520.160982843719</v>
      </c>
      <c r="K58" s="334">
        <f t="shared" si="2"/>
        <v>11577.761787757936</v>
      </c>
      <c r="L58" s="334">
        <f t="shared" si="2"/>
        <v>11635.650596696725</v>
      </c>
      <c r="M58" s="334">
        <f t="shared" si="2"/>
        <v>11693.828849680207</v>
      </c>
      <c r="N58" s="312"/>
      <c r="O58" s="333" t="str">
        <f t="shared" si="5"/>
        <v>202901</v>
      </c>
      <c r="P58" s="333" t="str">
        <f t="shared" si="5"/>
        <v>202902</v>
      </c>
      <c r="Q58" s="333" t="str">
        <f t="shared" si="5"/>
        <v>202903</v>
      </c>
      <c r="R58" s="333" t="str">
        <f t="shared" si="5"/>
        <v>202904</v>
      </c>
      <c r="S58" s="333" t="str">
        <f t="shared" si="5"/>
        <v>202905</v>
      </c>
      <c r="T58" s="333" t="str">
        <f t="shared" si="5"/>
        <v>202906</v>
      </c>
      <c r="U58" s="333" t="str">
        <f t="shared" si="5"/>
        <v>202907</v>
      </c>
      <c r="V58" s="333" t="str">
        <f t="shared" si="5"/>
        <v>202908</v>
      </c>
      <c r="W58" s="333" t="str">
        <f t="shared" si="5"/>
        <v>202909</v>
      </c>
      <c r="X58" s="333" t="str">
        <f t="shared" si="5"/>
        <v>202910</v>
      </c>
      <c r="Y58" s="333" t="str">
        <f t="shared" si="5"/>
        <v>202911</v>
      </c>
      <c r="Z58" s="333" t="str">
        <f t="shared" si="5"/>
        <v>202912</v>
      </c>
    </row>
    <row r="59" spans="1:26">
      <c r="A59" s="331">
        <v>2030</v>
      </c>
      <c r="B59" s="334">
        <f t="shared" si="3"/>
        <v>11752.297993928607</v>
      </c>
      <c r="C59" s="334">
        <f t="shared" si="4"/>
        <v>11811.059483898249</v>
      </c>
      <c r="D59" s="334">
        <f t="shared" si="2"/>
        <v>11870.114781317739</v>
      </c>
      <c r="E59" s="334">
        <f t="shared" si="2"/>
        <v>11929.465355224327</v>
      </c>
      <c r="F59" s="334">
        <f t="shared" si="2"/>
        <v>11989.112682000448</v>
      </c>
      <c r="G59" s="334">
        <f t="shared" si="2"/>
        <v>12049.05824541045</v>
      </c>
      <c r="H59" s="334">
        <f t="shared" si="2"/>
        <v>12109.303536637501</v>
      </c>
      <c r="I59" s="334">
        <f t="shared" si="2"/>
        <v>12169.850054320686</v>
      </c>
      <c r="J59" s="334">
        <f t="shared" si="2"/>
        <v>12230.699304592288</v>
      </c>
      <c r="K59" s="334">
        <f t="shared" si="2"/>
        <v>12291.852801115248</v>
      </c>
      <c r="L59" s="334">
        <f t="shared" si="2"/>
        <v>12353.312065120823</v>
      </c>
      <c r="M59" s="334">
        <f t="shared" si="2"/>
        <v>12415.078625446426</v>
      </c>
      <c r="N59" s="312"/>
      <c r="O59" s="333" t="str">
        <f t="shared" si="5"/>
        <v>203001</v>
      </c>
      <c r="P59" s="333" t="str">
        <f t="shared" si="5"/>
        <v>203002</v>
      </c>
      <c r="Q59" s="333" t="str">
        <f t="shared" si="5"/>
        <v>203003</v>
      </c>
      <c r="R59" s="333" t="str">
        <f t="shared" si="5"/>
        <v>203004</v>
      </c>
      <c r="S59" s="333" t="str">
        <f t="shared" si="5"/>
        <v>203005</v>
      </c>
      <c r="T59" s="333" t="str">
        <f t="shared" si="5"/>
        <v>203006</v>
      </c>
      <c r="U59" s="333" t="str">
        <f t="shared" si="5"/>
        <v>203007</v>
      </c>
      <c r="V59" s="333" t="str">
        <f t="shared" si="5"/>
        <v>203008</v>
      </c>
      <c r="W59" s="333" t="str">
        <f t="shared" si="5"/>
        <v>203009</v>
      </c>
      <c r="X59" s="333" t="str">
        <f t="shared" si="5"/>
        <v>203010</v>
      </c>
      <c r="Y59" s="333" t="str">
        <f t="shared" si="5"/>
        <v>203011</v>
      </c>
      <c r="Z59" s="333" t="str">
        <f t="shared" si="5"/>
        <v>203012</v>
      </c>
    </row>
    <row r="60" spans="1:26">
      <c r="A60" s="331">
        <v>2031</v>
      </c>
      <c r="B60" s="334">
        <f t="shared" si="3"/>
        <v>12477.154018573656</v>
      </c>
      <c r="C60" s="334">
        <f t="shared" si="4"/>
        <v>12539.539788666523</v>
      </c>
      <c r="D60" s="334">
        <f t="shared" si="2"/>
        <v>12602.237487609855</v>
      </c>
      <c r="E60" s="334">
        <f t="shared" si="2"/>
        <v>12665.248675047902</v>
      </c>
      <c r="F60" s="334">
        <f t="shared" si="2"/>
        <v>12728.574918423141</v>
      </c>
      <c r="G60" s="334">
        <f t="shared" si="2"/>
        <v>12792.217793015256</v>
      </c>
      <c r="H60" s="334">
        <f t="shared" si="2"/>
        <v>12856.178881980331</v>
      </c>
      <c r="I60" s="334">
        <f t="shared" si="2"/>
        <v>12920.459776390231</v>
      </c>
      <c r="J60" s="334">
        <f t="shared" si="2"/>
        <v>12985.062075272181</v>
      </c>
      <c r="K60" s="334">
        <f t="shared" si="2"/>
        <v>13049.987385648541</v>
      </c>
      <c r="L60" s="334">
        <f t="shared" si="2"/>
        <v>13115.237322576782</v>
      </c>
      <c r="M60" s="334">
        <f t="shared" si="2"/>
        <v>13180.813509189666</v>
      </c>
      <c r="N60" s="312"/>
      <c r="O60" s="333" t="str">
        <f t="shared" si="5"/>
        <v>203101</v>
      </c>
      <c r="P60" s="333" t="str">
        <f t="shared" si="5"/>
        <v>203102</v>
      </c>
      <c r="Q60" s="333" t="str">
        <f t="shared" si="5"/>
        <v>203103</v>
      </c>
      <c r="R60" s="333" t="str">
        <f t="shared" si="5"/>
        <v>203104</v>
      </c>
      <c r="S60" s="333" t="str">
        <f t="shared" si="5"/>
        <v>203105</v>
      </c>
      <c r="T60" s="333" t="str">
        <f t="shared" si="5"/>
        <v>203106</v>
      </c>
      <c r="U60" s="333" t="str">
        <f t="shared" si="5"/>
        <v>203107</v>
      </c>
      <c r="V60" s="333" t="str">
        <f t="shared" si="5"/>
        <v>203108</v>
      </c>
      <c r="W60" s="333" t="str">
        <f t="shared" si="5"/>
        <v>203109</v>
      </c>
      <c r="X60" s="333" t="str">
        <f t="shared" si="5"/>
        <v>203110</v>
      </c>
      <c r="Y60" s="333" t="str">
        <f t="shared" si="5"/>
        <v>203111</v>
      </c>
      <c r="Z60" s="333" t="str">
        <f t="shared" si="5"/>
        <v>203112</v>
      </c>
    </row>
    <row r="61" spans="1:26">
      <c r="A61" s="331">
        <v>2032</v>
      </c>
      <c r="B61" s="334">
        <f t="shared" si="3"/>
        <v>13246.717576735613</v>
      </c>
      <c r="C61" s="334">
        <f t="shared" si="4"/>
        <v>13312.95116461929</v>
      </c>
      <c r="D61" s="334">
        <f t="shared" si="2"/>
        <v>13379.515920442385</v>
      </c>
      <c r="E61" s="334">
        <f t="shared" si="2"/>
        <v>13446.413500044597</v>
      </c>
      <c r="F61" s="334">
        <f t="shared" si="2"/>
        <v>13513.645567544818</v>
      </c>
      <c r="G61" s="334">
        <f t="shared" si="2"/>
        <v>13581.21379538254</v>
      </c>
      <c r="H61" s="334">
        <f t="shared" si="2"/>
        <v>13649.119864359453</v>
      </c>
      <c r="I61" s="334">
        <f t="shared" si="2"/>
        <v>13717.365463681248</v>
      </c>
      <c r="J61" s="334">
        <f t="shared" si="2"/>
        <v>13785.952290999652</v>
      </c>
      <c r="K61" s="334">
        <f t="shared" si="2"/>
        <v>13854.882052454648</v>
      </c>
      <c r="L61" s="334">
        <f t="shared" si="2"/>
        <v>13924.156462716919</v>
      </c>
      <c r="M61" s="334">
        <f t="shared" si="2"/>
        <v>13993.777245030502</v>
      </c>
      <c r="N61" s="312"/>
      <c r="O61" s="333" t="str">
        <f t="shared" si="5"/>
        <v>203201</v>
      </c>
      <c r="P61" s="333" t="str">
        <f t="shared" si="5"/>
        <v>203202</v>
      </c>
      <c r="Q61" s="333" t="str">
        <f t="shared" si="5"/>
        <v>203203</v>
      </c>
      <c r="R61" s="333" t="str">
        <f t="shared" si="5"/>
        <v>203204</v>
      </c>
      <c r="S61" s="333" t="str">
        <f t="shared" si="5"/>
        <v>203205</v>
      </c>
      <c r="T61" s="333" t="str">
        <f t="shared" si="5"/>
        <v>203206</v>
      </c>
      <c r="U61" s="333" t="str">
        <f t="shared" si="5"/>
        <v>203207</v>
      </c>
      <c r="V61" s="333" t="str">
        <f t="shared" si="5"/>
        <v>203208</v>
      </c>
      <c r="W61" s="333" t="str">
        <f t="shared" si="5"/>
        <v>203209</v>
      </c>
      <c r="X61" s="333" t="str">
        <f t="shared" si="5"/>
        <v>203210</v>
      </c>
      <c r="Y61" s="333" t="str">
        <f t="shared" si="5"/>
        <v>203211</v>
      </c>
      <c r="Z61" s="333" t="str">
        <f t="shared" si="5"/>
        <v>203212</v>
      </c>
    </row>
    <row r="62" spans="1:26">
      <c r="A62" s="331">
        <v>2033</v>
      </c>
      <c r="B62" s="334">
        <f t="shared" si="3"/>
        <v>14063.746131255653</v>
      </c>
      <c r="C62" s="334">
        <f t="shared" si="4"/>
        <v>14134.064861911929</v>
      </c>
      <c r="D62" s="334">
        <f t="shared" si="2"/>
        <v>14204.735186221487</v>
      </c>
      <c r="E62" s="334">
        <f t="shared" si="2"/>
        <v>14275.758862152594</v>
      </c>
      <c r="F62" s="334">
        <f t="shared" si="2"/>
        <v>14347.137656463356</v>
      </c>
      <c r="G62" s="334">
        <f t="shared" si="2"/>
        <v>14418.873344745671</v>
      </c>
      <c r="H62" s="334">
        <f t="shared" si="2"/>
        <v>14490.967711469397</v>
      </c>
      <c r="I62" s="334">
        <f t="shared" si="2"/>
        <v>14563.422550026742</v>
      </c>
      <c r="J62" s="334">
        <f t="shared" si="2"/>
        <v>14636.239662776874</v>
      </c>
      <c r="K62" s="334">
        <f t="shared" si="2"/>
        <v>14709.420861090757</v>
      </c>
      <c r="L62" s="334">
        <f t="shared" si="2"/>
        <v>14782.96796539621</v>
      </c>
      <c r="M62" s="334">
        <f t="shared" si="2"/>
        <v>14856.882805223189</v>
      </c>
      <c r="N62" s="312"/>
      <c r="O62" s="333" t="str">
        <f t="shared" si="5"/>
        <v>203301</v>
      </c>
      <c r="P62" s="333" t="str">
        <f t="shared" si="5"/>
        <v>203302</v>
      </c>
      <c r="Q62" s="333" t="str">
        <f t="shared" si="5"/>
        <v>203303</v>
      </c>
      <c r="R62" s="333" t="str">
        <f t="shared" si="5"/>
        <v>203304</v>
      </c>
      <c r="S62" s="333" t="str">
        <f t="shared" si="5"/>
        <v>203305</v>
      </c>
      <c r="T62" s="333" t="str">
        <f t="shared" si="5"/>
        <v>203306</v>
      </c>
      <c r="U62" s="333" t="str">
        <f t="shared" si="5"/>
        <v>203307</v>
      </c>
      <c r="V62" s="333" t="str">
        <f t="shared" si="5"/>
        <v>203308</v>
      </c>
      <c r="W62" s="333" t="str">
        <f t="shared" si="5"/>
        <v>203309</v>
      </c>
      <c r="X62" s="333" t="str">
        <f t="shared" si="5"/>
        <v>203310</v>
      </c>
      <c r="Y62" s="333" t="str">
        <f t="shared" si="5"/>
        <v>203311</v>
      </c>
      <c r="Z62" s="333" t="str">
        <f t="shared" si="5"/>
        <v>203312</v>
      </c>
    </row>
    <row r="63" spans="1:26">
      <c r="A63" s="331">
        <v>2034</v>
      </c>
      <c r="B63" s="334">
        <f t="shared" si="3"/>
        <v>14931.167219249304</v>
      </c>
      <c r="C63" s="334">
        <f t="shared" si="4"/>
        <v>15005.823055345549</v>
      </c>
      <c r="D63" s="334">
        <f t="shared" si="2"/>
        <v>15080.852170622275</v>
      </c>
      <c r="E63" s="334">
        <f t="shared" si="2"/>
        <v>15156.256431475384</v>
      </c>
      <c r="F63" s="334">
        <f t="shared" si="2"/>
        <v>15232.037713632759</v>
      </c>
      <c r="G63" s="334">
        <f t="shared" si="2"/>
        <v>15308.197902200922</v>
      </c>
      <c r="H63" s="334">
        <f t="shared" si="2"/>
        <v>15384.738891711924</v>
      </c>
      <c r="I63" s="334">
        <f t="shared" si="2"/>
        <v>15461.662586170482</v>
      </c>
      <c r="J63" s="334">
        <f t="shared" si="2"/>
        <v>15538.970899101332</v>
      </c>
      <c r="K63" s="334">
        <f t="shared" si="2"/>
        <v>15616.665753596837</v>
      </c>
      <c r="L63" s="334">
        <f t="shared" si="2"/>
        <v>15694.74908236482</v>
      </c>
      <c r="M63" s="334">
        <f t="shared" si="2"/>
        <v>15773.222827776643</v>
      </c>
      <c r="N63" s="312"/>
      <c r="O63" s="333" t="str">
        <f t="shared" si="5"/>
        <v>203401</v>
      </c>
      <c r="P63" s="333" t="str">
        <f t="shared" si="5"/>
        <v>203402</v>
      </c>
      <c r="Q63" s="333" t="str">
        <f t="shared" si="5"/>
        <v>203403</v>
      </c>
      <c r="R63" s="333" t="str">
        <f t="shared" si="5"/>
        <v>203404</v>
      </c>
      <c r="S63" s="333" t="str">
        <f t="shared" si="5"/>
        <v>203405</v>
      </c>
      <c r="T63" s="333" t="str">
        <f t="shared" si="5"/>
        <v>203406</v>
      </c>
      <c r="U63" s="333" t="str">
        <f t="shared" si="5"/>
        <v>203407</v>
      </c>
      <c r="V63" s="333" t="str">
        <f t="shared" si="5"/>
        <v>203408</v>
      </c>
      <c r="W63" s="333" t="str">
        <f t="shared" si="5"/>
        <v>203409</v>
      </c>
      <c r="X63" s="333" t="str">
        <f t="shared" si="5"/>
        <v>203410</v>
      </c>
      <c r="Y63" s="333" t="str">
        <f t="shared" si="5"/>
        <v>203411</v>
      </c>
      <c r="Z63" s="333" t="str">
        <f t="shared" si="5"/>
        <v>203412</v>
      </c>
    </row>
    <row r="64" spans="1:26">
      <c r="A64" s="331">
        <v>2035</v>
      </c>
      <c r="B64" s="334">
        <f t="shared" si="3"/>
        <v>15852.088941915525</v>
      </c>
      <c r="C64" s="334">
        <f t="shared" si="4"/>
        <v>15931.349386625101</v>
      </c>
      <c r="D64" s="334">
        <f t="shared" si="2"/>
        <v>16011.006133558225</v>
      </c>
      <c r="E64" s="334">
        <f t="shared" si="2"/>
        <v>16091.061164226014</v>
      </c>
      <c r="F64" s="334">
        <f t="shared" si="2"/>
        <v>16171.516470047141</v>
      </c>
      <c r="G64" s="334">
        <f t="shared" si="2"/>
        <v>16252.374052397376</v>
      </c>
      <c r="H64" s="334">
        <f t="shared" si="2"/>
        <v>16333.635922659361</v>
      </c>
      <c r="I64" s="334">
        <f t="shared" si="2"/>
        <v>16415.304102272657</v>
      </c>
      <c r="J64" s="334">
        <f t="shared" si="2"/>
        <v>16497.380622784018</v>
      </c>
      <c r="K64" s="334">
        <f t="shared" si="2"/>
        <v>16579.867525897935</v>
      </c>
      <c r="L64" s="334">
        <f t="shared" si="2"/>
        <v>16662.766863527424</v>
      </c>
      <c r="M64" s="334">
        <f t="shared" si="2"/>
        <v>16746.08069784506</v>
      </c>
      <c r="N64" s="312"/>
      <c r="O64" s="333" t="str">
        <f t="shared" si="5"/>
        <v>203501</v>
      </c>
      <c r="P64" s="333" t="str">
        <f t="shared" si="5"/>
        <v>203502</v>
      </c>
      <c r="Q64" s="333" t="str">
        <f t="shared" si="5"/>
        <v>203503</v>
      </c>
      <c r="R64" s="333" t="str">
        <f t="shared" si="5"/>
        <v>203504</v>
      </c>
      <c r="S64" s="333" t="str">
        <f t="shared" si="5"/>
        <v>203505</v>
      </c>
      <c r="T64" s="333" t="str">
        <f t="shared" si="5"/>
        <v>203506</v>
      </c>
      <c r="U64" s="333" t="str">
        <f t="shared" si="5"/>
        <v>203507</v>
      </c>
      <c r="V64" s="333" t="str">
        <f t="shared" si="5"/>
        <v>203508</v>
      </c>
      <c r="W64" s="333" t="str">
        <f t="shared" si="5"/>
        <v>203509</v>
      </c>
      <c r="X64" s="333" t="str">
        <f t="shared" si="5"/>
        <v>203510</v>
      </c>
      <c r="Y64" s="333" t="str">
        <f t="shared" si="5"/>
        <v>203511</v>
      </c>
      <c r="Z64" s="333" t="str">
        <f t="shared" si="5"/>
        <v>203512</v>
      </c>
    </row>
    <row r="65" spans="1:26">
      <c r="A65" s="331">
        <v>2036</v>
      </c>
      <c r="B65" s="334">
        <f t="shared" si="3"/>
        <v>16829.811101334282</v>
      </c>
      <c r="C65" s="334">
        <f t="shared" si="4"/>
        <v>16913.960156840953</v>
      </c>
      <c r="D65" s="334">
        <f t="shared" si="2"/>
        <v>16998.529957625156</v>
      </c>
      <c r="E65" s="334">
        <f t="shared" si="2"/>
        <v>17083.522607413281</v>
      </c>
      <c r="F65" s="334">
        <f t="shared" si="2"/>
        <v>17168.940220450346</v>
      </c>
      <c r="G65" s="334">
        <f t="shared" si="2"/>
        <v>17254.784921552597</v>
      </c>
      <c r="H65" s="334">
        <f t="shared" si="2"/>
        <v>17341.058846160358</v>
      </c>
      <c r="I65" s="334">
        <f t="shared" si="2"/>
        <v>17427.764140391158</v>
      </c>
      <c r="J65" s="334">
        <f t="shared" si="2"/>
        <v>17514.902961093114</v>
      </c>
      <c r="K65" s="334">
        <f t="shared" si="2"/>
        <v>17602.477475898577</v>
      </c>
      <c r="L65" s="334">
        <f t="shared" si="2"/>
        <v>17690.489863278068</v>
      </c>
      <c r="M65" s="334">
        <f t="shared" si="2"/>
        <v>17778.942312594456</v>
      </c>
      <c r="N65" s="312"/>
      <c r="O65" s="333" t="str">
        <f t="shared" si="5"/>
        <v>203601</v>
      </c>
      <c r="P65" s="333" t="str">
        <f t="shared" si="5"/>
        <v>203602</v>
      </c>
      <c r="Q65" s="333" t="str">
        <f t="shared" si="5"/>
        <v>203603</v>
      </c>
      <c r="R65" s="333" t="str">
        <f t="shared" si="5"/>
        <v>203604</v>
      </c>
      <c r="S65" s="333" t="str">
        <f t="shared" si="5"/>
        <v>203605</v>
      </c>
      <c r="T65" s="333" t="str">
        <f t="shared" si="5"/>
        <v>203606</v>
      </c>
      <c r="U65" s="333" t="str">
        <f t="shared" si="5"/>
        <v>203607</v>
      </c>
      <c r="V65" s="333" t="str">
        <f t="shared" si="5"/>
        <v>203608</v>
      </c>
      <c r="W65" s="333" t="str">
        <f t="shared" si="5"/>
        <v>203609</v>
      </c>
      <c r="X65" s="333" t="str">
        <f t="shared" si="5"/>
        <v>203610</v>
      </c>
      <c r="Y65" s="333" t="str">
        <f t="shared" si="5"/>
        <v>203611</v>
      </c>
      <c r="Z65" s="333" t="str">
        <f t="shared" si="5"/>
        <v>203612</v>
      </c>
    </row>
    <row r="66" spans="1:26">
      <c r="A66" s="331">
        <v>2037</v>
      </c>
      <c r="B66" s="334">
        <f t="shared" si="3"/>
        <v>17867.837024157427</v>
      </c>
      <c r="C66" s="334">
        <f t="shared" si="4"/>
        <v>17957.176209278212</v>
      </c>
      <c r="D66" s="334">
        <f t="shared" si="2"/>
        <v>18046.9620903246</v>
      </c>
      <c r="E66" s="334">
        <f t="shared" si="2"/>
        <v>18137.19690077622</v>
      </c>
      <c r="F66" s="334">
        <f t="shared" si="2"/>
        <v>18227.882885280098</v>
      </c>
      <c r="G66" s="334">
        <f t="shared" si="2"/>
        <v>18319.022299706496</v>
      </c>
      <c r="H66" s="334">
        <f t="shared" si="2"/>
        <v>18410.617411205025</v>
      </c>
      <c r="I66" s="334">
        <f t="shared" si="2"/>
        <v>18502.670498261046</v>
      </c>
      <c r="J66" s="334">
        <f t="shared" si="2"/>
        <v>18595.18385075235</v>
      </c>
      <c r="K66" s="334">
        <f t="shared" si="2"/>
        <v>18688.15977000611</v>
      </c>
      <c r="L66" s="334">
        <f t="shared" si="2"/>
        <v>18781.600568856138</v>
      </c>
      <c r="M66" s="334">
        <f t="shared" si="2"/>
        <v>18875.508571700419</v>
      </c>
      <c r="N66" s="312"/>
      <c r="O66" s="333" t="str">
        <f t="shared" si="5"/>
        <v>203701</v>
      </c>
      <c r="P66" s="333" t="str">
        <f t="shared" si="5"/>
        <v>203702</v>
      </c>
      <c r="Q66" s="333" t="str">
        <f t="shared" si="5"/>
        <v>203703</v>
      </c>
      <c r="R66" s="333" t="str">
        <f t="shared" si="5"/>
        <v>203704</v>
      </c>
      <c r="S66" s="333" t="str">
        <f t="shared" si="5"/>
        <v>203705</v>
      </c>
      <c r="T66" s="333" t="str">
        <f t="shared" si="5"/>
        <v>203706</v>
      </c>
      <c r="U66" s="333" t="str">
        <f t="shared" si="5"/>
        <v>203707</v>
      </c>
      <c r="V66" s="333" t="str">
        <f t="shared" si="5"/>
        <v>203708</v>
      </c>
      <c r="W66" s="333" t="str">
        <f t="shared" si="5"/>
        <v>203709</v>
      </c>
      <c r="X66" s="333" t="str">
        <f t="shared" si="5"/>
        <v>203710</v>
      </c>
      <c r="Y66" s="333" t="str">
        <f t="shared" si="5"/>
        <v>203711</v>
      </c>
      <c r="Z66" s="333" t="str">
        <f t="shared" si="5"/>
        <v>203712</v>
      </c>
    </row>
    <row r="67" spans="1:26">
      <c r="A67" s="331">
        <v>2038</v>
      </c>
      <c r="B67" s="334">
        <f t="shared" si="3"/>
        <v>18969.886114558918</v>
      </c>
      <c r="C67" s="334">
        <f t="shared" si="4"/>
        <v>19064.735545131709</v>
      </c>
      <c r="D67" s="334">
        <f t="shared" si="2"/>
        <v>19160.059222857366</v>
      </c>
      <c r="E67" s="334">
        <f t="shared" si="2"/>
        <v>19255.859518971651</v>
      </c>
      <c r="F67" s="334">
        <f t="shared" si="2"/>
        <v>19352.138816566508</v>
      </c>
      <c r="G67" s="334">
        <f t="shared" si="2"/>
        <v>19448.899510649338</v>
      </c>
      <c r="H67" s="334">
        <f t="shared" si="2"/>
        <v>19546.144008202584</v>
      </c>
      <c r="I67" s="334">
        <f t="shared" si="2"/>
        <v>19643.874728243594</v>
      </c>
      <c r="J67" s="334">
        <f t="shared" si="2"/>
        <v>19742.09410188481</v>
      </c>
      <c r="K67" s="334">
        <f t="shared" si="2"/>
        <v>19840.80457239423</v>
      </c>
      <c r="L67" s="334">
        <f t="shared" si="2"/>
        <v>19940.0085952562</v>
      </c>
      <c r="M67" s="334">
        <f t="shared" si="2"/>
        <v>20039.708638232478</v>
      </c>
      <c r="N67" s="312"/>
      <c r="O67" s="333" t="str">
        <f t="shared" si="5"/>
        <v>203801</v>
      </c>
      <c r="P67" s="333" t="str">
        <f t="shared" si="5"/>
        <v>203802</v>
      </c>
      <c r="Q67" s="333" t="str">
        <f t="shared" si="5"/>
        <v>203803</v>
      </c>
      <c r="R67" s="333" t="str">
        <f t="shared" si="5"/>
        <v>203804</v>
      </c>
      <c r="S67" s="333" t="str">
        <f t="shared" si="5"/>
        <v>203805</v>
      </c>
      <c r="T67" s="333" t="str">
        <f t="shared" si="5"/>
        <v>203806</v>
      </c>
      <c r="U67" s="333" t="str">
        <f t="shared" si="5"/>
        <v>203807</v>
      </c>
      <c r="V67" s="333" t="str">
        <f t="shared" si="5"/>
        <v>203808</v>
      </c>
      <c r="W67" s="333" t="str">
        <f t="shared" si="5"/>
        <v>203809</v>
      </c>
      <c r="X67" s="333" t="str">
        <f t="shared" si="5"/>
        <v>203810</v>
      </c>
      <c r="Y67" s="333" t="str">
        <f t="shared" si="5"/>
        <v>203811</v>
      </c>
      <c r="Z67" s="333" t="str">
        <f t="shared" si="5"/>
        <v>203812</v>
      </c>
    </row>
    <row r="68" spans="1:26">
      <c r="A68" s="331">
        <v>2039</v>
      </c>
      <c r="B68" s="334">
        <f t="shared" si="3"/>
        <v>20139.907181423638</v>
      </c>
      <c r="C68" s="334">
        <f t="shared" si="4"/>
        <v>20240.606717330753</v>
      </c>
      <c r="D68" s="334">
        <f t="shared" si="4"/>
        <v>20341.809750917404</v>
      </c>
      <c r="E68" s="334">
        <f t="shared" si="4"/>
        <v>20443.518799671991</v>
      </c>
      <c r="F68" s="334">
        <f t="shared" si="4"/>
        <v>20545.736393670348</v>
      </c>
      <c r="G68" s="334">
        <f t="shared" si="4"/>
        <v>20648.465075638698</v>
      </c>
      <c r="H68" s="334">
        <f t="shared" si="4"/>
        <v>20751.707401016891</v>
      </c>
      <c r="I68" s="334">
        <f t="shared" si="4"/>
        <v>20855.465938021975</v>
      </c>
      <c r="J68" s="334">
        <f t="shared" si="4"/>
        <v>20959.743267712081</v>
      </c>
      <c r="K68" s="334">
        <f t="shared" si="4"/>
        <v>21064.54198405064</v>
      </c>
      <c r="L68" s="334">
        <f t="shared" si="4"/>
        <v>21169.864693970892</v>
      </c>
      <c r="M68" s="334">
        <f t="shared" si="4"/>
        <v>21275.714017440743</v>
      </c>
      <c r="N68" s="312"/>
      <c r="O68" s="333" t="str">
        <f t="shared" si="5"/>
        <v>203901</v>
      </c>
      <c r="P68" s="333" t="str">
        <f t="shared" si="5"/>
        <v>203902</v>
      </c>
      <c r="Q68" s="333" t="str">
        <f t="shared" si="5"/>
        <v>203903</v>
      </c>
      <c r="R68" s="333" t="str">
        <f t="shared" si="5"/>
        <v>203904</v>
      </c>
      <c r="S68" s="333" t="str">
        <f t="shared" si="5"/>
        <v>203905</v>
      </c>
      <c r="T68" s="333" t="str">
        <f t="shared" si="5"/>
        <v>203906</v>
      </c>
      <c r="U68" s="333" t="str">
        <f t="shared" si="5"/>
        <v>203907</v>
      </c>
      <c r="V68" s="333" t="str">
        <f t="shared" si="5"/>
        <v>203908</v>
      </c>
      <c r="W68" s="333" t="str">
        <f t="shared" si="5"/>
        <v>203909</v>
      </c>
      <c r="X68" s="333" t="str">
        <f t="shared" si="5"/>
        <v>203910</v>
      </c>
      <c r="Y68" s="333" t="str">
        <f t="shared" si="5"/>
        <v>203911</v>
      </c>
      <c r="Z68" s="333" t="str">
        <f t="shared" si="5"/>
        <v>203912</v>
      </c>
    </row>
    <row r="69" spans="1:26">
      <c r="A69" s="331">
        <v>2040</v>
      </c>
      <c r="B69" s="334">
        <f t="shared" si="3"/>
        <v>21382.092587527946</v>
      </c>
      <c r="C69" s="334">
        <f t="shared" si="4"/>
        <v>21489.003050465584</v>
      </c>
      <c r="D69" s="334">
        <f t="shared" si="4"/>
        <v>21596.448065717908</v>
      </c>
      <c r="E69" s="334">
        <f t="shared" si="4"/>
        <v>21704.430306046495</v>
      </c>
      <c r="F69" s="334">
        <f t="shared" si="4"/>
        <v>21812.952457576725</v>
      </c>
      <c r="G69" s="334">
        <f t="shared" si="4"/>
        <v>21922.017219864607</v>
      </c>
      <c r="H69" s="334">
        <f t="shared" si="4"/>
        <v>22031.627305963928</v>
      </c>
      <c r="I69" s="334">
        <f t="shared" si="4"/>
        <v>22141.785442493747</v>
      </c>
      <c r="J69" s="334">
        <f t="shared" si="4"/>
        <v>22252.494369706212</v>
      </c>
      <c r="K69" s="334">
        <f t="shared" si="4"/>
        <v>22363.756841554739</v>
      </c>
      <c r="L69" s="334">
        <f t="shared" si="4"/>
        <v>22475.575625762511</v>
      </c>
      <c r="M69" s="334">
        <f t="shared" si="4"/>
        <v>22587.95350389132</v>
      </c>
      <c r="N69" s="312"/>
      <c r="O69" s="333" t="str">
        <f t="shared" si="5"/>
        <v>204001</v>
      </c>
      <c r="P69" s="333" t="str">
        <f t="shared" si="5"/>
        <v>204002</v>
      </c>
      <c r="Q69" s="333" t="str">
        <f t="shared" si="5"/>
        <v>204003</v>
      </c>
      <c r="R69" s="333" t="str">
        <f t="shared" si="5"/>
        <v>204004</v>
      </c>
      <c r="S69" s="333" t="str">
        <f t="shared" si="5"/>
        <v>204005</v>
      </c>
      <c r="T69" s="333" t="str">
        <f t="shared" si="5"/>
        <v>204006</v>
      </c>
      <c r="U69" s="333" t="str">
        <f t="shared" si="5"/>
        <v>204007</v>
      </c>
      <c r="V69" s="333" t="str">
        <f t="shared" si="5"/>
        <v>204008</v>
      </c>
      <c r="W69" s="333" t="str">
        <f t="shared" si="5"/>
        <v>204009</v>
      </c>
      <c r="X69" s="333" t="str">
        <f t="shared" si="5"/>
        <v>204010</v>
      </c>
      <c r="Y69" s="333" t="str">
        <f t="shared" si="5"/>
        <v>204011</v>
      </c>
      <c r="Z69" s="333" t="str">
        <f t="shared" si="5"/>
        <v>204012</v>
      </c>
    </row>
    <row r="70" spans="1:26">
      <c r="A70" s="331">
        <v>2041</v>
      </c>
      <c r="B70" s="334">
        <f t="shared" si="3"/>
        <v>22700.893271410776</v>
      </c>
      <c r="C70" s="334">
        <f t="shared" si="4"/>
        <v>22814.397737767827</v>
      </c>
      <c r="D70" s="334">
        <f t="shared" si="4"/>
        <v>22928.469726456664</v>
      </c>
      <c r="E70" s="334">
        <f t="shared" si="4"/>
        <v>23043.112075088946</v>
      </c>
      <c r="F70" s="334">
        <f t="shared" si="4"/>
        <v>23158.327635464389</v>
      </c>
      <c r="G70" s="334">
        <f t="shared" si="4"/>
        <v>23274.119273641711</v>
      </c>
      <c r="H70" s="334">
        <f t="shared" si="4"/>
        <v>23390.489870009918</v>
      </c>
      <c r="I70" s="334">
        <f t="shared" si="4"/>
        <v>23507.442319359965</v>
      </c>
      <c r="J70" s="334">
        <f t="shared" si="4"/>
        <v>23624.979530956763</v>
      </c>
      <c r="K70" s="334">
        <f t="shared" si="4"/>
        <v>23743.104428611543</v>
      </c>
      <c r="L70" s="334">
        <f t="shared" si="4"/>
        <v>23861.819950754598</v>
      </c>
      <c r="M70" s="334">
        <f t="shared" si="4"/>
        <v>23981.129050508367</v>
      </c>
      <c r="N70" s="312"/>
      <c r="O70" s="333" t="str">
        <f t="shared" si="5"/>
        <v>204101</v>
      </c>
      <c r="P70" s="333" t="str">
        <f t="shared" si="5"/>
        <v>204102</v>
      </c>
      <c r="Q70" s="333" t="str">
        <f t="shared" si="5"/>
        <v>204103</v>
      </c>
      <c r="R70" s="333" t="str">
        <f t="shared" si="5"/>
        <v>204104</v>
      </c>
      <c r="S70" s="333" t="str">
        <f t="shared" si="5"/>
        <v>204105</v>
      </c>
      <c r="T70" s="333" t="str">
        <f t="shared" si="5"/>
        <v>204106</v>
      </c>
      <c r="U70" s="333" t="str">
        <f t="shared" si="5"/>
        <v>204107</v>
      </c>
      <c r="V70" s="333" t="str">
        <f t="shared" si="5"/>
        <v>204108</v>
      </c>
      <c r="W70" s="333" t="str">
        <f t="shared" si="5"/>
        <v>204109</v>
      </c>
      <c r="X70" s="333" t="str">
        <f t="shared" si="5"/>
        <v>204110</v>
      </c>
      <c r="Y70" s="333" t="str">
        <f t="shared" si="5"/>
        <v>204111</v>
      </c>
      <c r="Z70" s="333" t="str">
        <f t="shared" si="5"/>
        <v>204112</v>
      </c>
    </row>
    <row r="71" spans="1:26">
      <c r="A71" s="331">
        <v>2042</v>
      </c>
      <c r="B71" s="334">
        <f t="shared" si="3"/>
        <v>24101.034695760907</v>
      </c>
      <c r="C71" s="334">
        <f t="shared" si="4"/>
        <v>24221.53986923971</v>
      </c>
      <c r="D71" s="334">
        <f t="shared" si="4"/>
        <v>24342.647568585908</v>
      </c>
      <c r="E71" s="334">
        <f t="shared" si="4"/>
        <v>24464.360806428835</v>
      </c>
      <c r="F71" s="334">
        <f t="shared" si="4"/>
        <v>24586.682610460975</v>
      </c>
      <c r="G71" s="334">
        <f t="shared" si="4"/>
        <v>24709.616023513277</v>
      </c>
      <c r="H71" s="334">
        <f t="shared" si="4"/>
        <v>24833.164103630843</v>
      </c>
      <c r="I71" s="334">
        <f t="shared" si="4"/>
        <v>24957.329924148995</v>
      </c>
      <c r="J71" s="334">
        <f t="shared" si="4"/>
        <v>25082.116573769737</v>
      </c>
      <c r="K71" s="334">
        <f t="shared" si="4"/>
        <v>25207.527156638582</v>
      </c>
      <c r="L71" s="334">
        <f t="shared" si="4"/>
        <v>25333.564792421774</v>
      </c>
      <c r="M71" s="334">
        <f t="shared" si="4"/>
        <v>25460.232616383881</v>
      </c>
      <c r="N71" s="312"/>
      <c r="O71" s="333" t="str">
        <f t="shared" si="5"/>
        <v>204201</v>
      </c>
      <c r="P71" s="333" t="str">
        <f t="shared" si="5"/>
        <v>204202</v>
      </c>
      <c r="Q71" s="333" t="str">
        <f t="shared" si="5"/>
        <v>204203</v>
      </c>
      <c r="R71" s="333" t="str">
        <f t="shared" si="5"/>
        <v>204204</v>
      </c>
      <c r="S71" s="333" t="str">
        <f t="shared" si="5"/>
        <v>204205</v>
      </c>
      <c r="T71" s="333" t="str">
        <f t="shared" si="5"/>
        <v>204206</v>
      </c>
      <c r="U71" s="333" t="str">
        <f t="shared" si="5"/>
        <v>204207</v>
      </c>
      <c r="V71" s="333" t="str">
        <f t="shared" si="5"/>
        <v>204208</v>
      </c>
      <c r="W71" s="333" t="str">
        <f t="shared" si="5"/>
        <v>204209</v>
      </c>
      <c r="X71" s="333" t="str">
        <f t="shared" si="5"/>
        <v>204210</v>
      </c>
      <c r="Y71" s="333" t="str">
        <f t="shared" si="5"/>
        <v>204211</v>
      </c>
      <c r="Z71" s="333" t="str">
        <f t="shared" si="5"/>
        <v>204212</v>
      </c>
    </row>
    <row r="72" spans="1:26">
      <c r="A72" s="331">
        <v>2043</v>
      </c>
      <c r="B72" s="334">
        <f t="shared" si="3"/>
        <v>25587.533779465797</v>
      </c>
      <c r="C72" s="334">
        <f t="shared" si="4"/>
        <v>25715.471448363125</v>
      </c>
      <c r="D72" s="334">
        <f t="shared" si="4"/>
        <v>25844.048805604936</v>
      </c>
      <c r="E72" s="334">
        <f t="shared" si="4"/>
        <v>25973.26904963296</v>
      </c>
      <c r="F72" s="334">
        <f t="shared" si="4"/>
        <v>26103.135394881123</v>
      </c>
      <c r="G72" s="334">
        <f t="shared" si="4"/>
        <v>26233.651071855526</v>
      </c>
      <c r="H72" s="334">
        <f t="shared" si="4"/>
        <v>26364.819327214802</v>
      </c>
      <c r="I72" s="334">
        <f t="shared" si="4"/>
        <v>26496.643423850874</v>
      </c>
      <c r="J72" s="334">
        <f t="shared" si="4"/>
        <v>26629.126640970124</v>
      </c>
      <c r="K72" s="334">
        <f t="shared" si="4"/>
        <v>26762.272274174971</v>
      </c>
      <c r="L72" s="334">
        <f t="shared" si="4"/>
        <v>26896.083635545845</v>
      </c>
      <c r="M72" s="334">
        <f t="shared" si="4"/>
        <v>27030.56405372357</v>
      </c>
      <c r="N72" s="312"/>
      <c r="O72" s="333" t="str">
        <f t="shared" si="5"/>
        <v>204301</v>
      </c>
      <c r="P72" s="333" t="str">
        <f t="shared" si="5"/>
        <v>204302</v>
      </c>
      <c r="Q72" s="333" t="str">
        <f t="shared" si="5"/>
        <v>204303</v>
      </c>
      <c r="R72" s="333" t="str">
        <f t="shared" si="5"/>
        <v>204304</v>
      </c>
      <c r="S72" s="333" t="str">
        <f t="shared" si="5"/>
        <v>204305</v>
      </c>
      <c r="T72" s="333" t="str">
        <f t="shared" si="5"/>
        <v>204306</v>
      </c>
      <c r="U72" s="333" t="str">
        <f t="shared" si="5"/>
        <v>204307</v>
      </c>
      <c r="V72" s="333" t="str">
        <f t="shared" si="5"/>
        <v>204308</v>
      </c>
      <c r="W72" s="333" t="str">
        <f t="shared" si="5"/>
        <v>204309</v>
      </c>
      <c r="X72" s="333" t="str">
        <f t="shared" si="5"/>
        <v>204310</v>
      </c>
      <c r="Y72" s="333" t="str">
        <f t="shared" si="5"/>
        <v>204311</v>
      </c>
      <c r="Z72" s="333" t="str">
        <f t="shared" si="5"/>
        <v>204312</v>
      </c>
    </row>
    <row r="73" spans="1:26">
      <c r="A73" s="331">
        <v>2044</v>
      </c>
      <c r="B73" s="334">
        <f t="shared" si="3"/>
        <v>27165.716873992187</v>
      </c>
      <c r="C73" s="334">
        <f t="shared" si="4"/>
        <v>27301.545458362147</v>
      </c>
      <c r="D73" s="334">
        <f t="shared" si="4"/>
        <v>27438.053185653953</v>
      </c>
      <c r="E73" s="334">
        <f t="shared" si="4"/>
        <v>27575.243451582221</v>
      </c>
      <c r="F73" s="334">
        <f t="shared" si="4"/>
        <v>27713.119668840129</v>
      </c>
      <c r="G73" s="334">
        <f t="shared" si="4"/>
        <v>27851.685267184326</v>
      </c>
      <c r="H73" s="334">
        <f t="shared" si="4"/>
        <v>27990.943693520247</v>
      </c>
      <c r="I73" s="334">
        <f t="shared" si="4"/>
        <v>28130.898411987844</v>
      </c>
      <c r="J73" s="334">
        <f t="shared" si="4"/>
        <v>28271.552904047781</v>
      </c>
      <c r="K73" s="334">
        <f t="shared" si="4"/>
        <v>28412.910668568016</v>
      </c>
      <c r="L73" s="334">
        <f t="shared" si="4"/>
        <v>28554.975221910852</v>
      </c>
      <c r="M73" s="334">
        <f t="shared" si="4"/>
        <v>28697.750098020402</v>
      </c>
      <c r="N73" s="312"/>
      <c r="O73" s="333" t="str">
        <f t="shared" si="5"/>
        <v>204401</v>
      </c>
      <c r="P73" s="333" t="str">
        <f t="shared" si="5"/>
        <v>204402</v>
      </c>
      <c r="Q73" s="333" t="str">
        <f t="shared" si="5"/>
        <v>204403</v>
      </c>
      <c r="R73" s="333" t="str">
        <f t="shared" si="5"/>
        <v>204404</v>
      </c>
      <c r="S73" s="333" t="str">
        <f t="shared" si="5"/>
        <v>204405</v>
      </c>
      <c r="T73" s="333" t="str">
        <f t="shared" si="5"/>
        <v>204406</v>
      </c>
      <c r="U73" s="333" t="str">
        <f t="shared" si="5"/>
        <v>204407</v>
      </c>
      <c r="V73" s="333" t="str">
        <f t="shared" si="5"/>
        <v>204408</v>
      </c>
      <c r="W73" s="333" t="str">
        <f t="shared" si="5"/>
        <v>204409</v>
      </c>
      <c r="X73" s="333" t="str">
        <f t="shared" si="5"/>
        <v>204410</v>
      </c>
      <c r="Y73" s="333" t="str">
        <f t="shared" si="5"/>
        <v>204411</v>
      </c>
      <c r="Z73" s="333" t="str">
        <f t="shared" si="5"/>
        <v>204412</v>
      </c>
    </row>
    <row r="74" spans="1:26">
      <c r="A74" s="331">
        <v>2045</v>
      </c>
      <c r="B74" s="334">
        <f t="shared" si="3"/>
        <v>28841.2388485105</v>
      </c>
      <c r="C74" s="334">
        <f t="shared" si="4"/>
        <v>28985.44504275305</v>
      </c>
      <c r="D74" s="334">
        <f t="shared" si="4"/>
        <v>29130.372267966814</v>
      </c>
      <c r="E74" s="334">
        <f t="shared" si="4"/>
        <v>29276.024129306643</v>
      </c>
      <c r="F74" s="334">
        <f t="shared" si="4"/>
        <v>29422.404249953172</v>
      </c>
      <c r="G74" s="334">
        <f t="shared" si="4"/>
        <v>29569.516271202934</v>
      </c>
      <c r="H74" s="334">
        <f t="shared" si="4"/>
        <v>29717.363852558945</v>
      </c>
      <c r="I74" s="334">
        <f t="shared" si="4"/>
        <v>29865.950671821738</v>
      </c>
      <c r="J74" s="334">
        <f t="shared" si="4"/>
        <v>30015.280425180845</v>
      </c>
      <c r="K74" s="334">
        <f t="shared" si="4"/>
        <v>30165.356827306747</v>
      </c>
      <c r="L74" s="334">
        <f t="shared" si="4"/>
        <v>30316.183611443277</v>
      </c>
      <c r="M74" s="334">
        <f t="shared" si="4"/>
        <v>30467.764529500491</v>
      </c>
      <c r="N74" s="312"/>
      <c r="O74" s="333" t="str">
        <f t="shared" si="5"/>
        <v>204501</v>
      </c>
      <c r="P74" s="333" t="str">
        <f t="shared" si="5"/>
        <v>204502</v>
      </c>
      <c r="Q74" s="333" t="str">
        <f t="shared" si="5"/>
        <v>204503</v>
      </c>
      <c r="R74" s="333" t="str">
        <f t="shared" si="5"/>
        <v>204504</v>
      </c>
      <c r="S74" s="333" t="str">
        <f t="shared" si="5"/>
        <v>204505</v>
      </c>
      <c r="T74" s="333" t="str">
        <f t="shared" si="5"/>
        <v>204506</v>
      </c>
      <c r="U74" s="333" t="str">
        <f t="shared" si="5"/>
        <v>204507</v>
      </c>
      <c r="V74" s="333" t="str">
        <f t="shared" si="5"/>
        <v>204508</v>
      </c>
      <c r="W74" s="333" t="str">
        <f t="shared" si="5"/>
        <v>204509</v>
      </c>
      <c r="X74" s="333" t="str">
        <f t="shared" si="5"/>
        <v>204510</v>
      </c>
      <c r="Y74" s="333" t="str">
        <f t="shared" si="5"/>
        <v>204511</v>
      </c>
      <c r="Z74" s="333" t="str">
        <f t="shared" si="5"/>
        <v>204512</v>
      </c>
    </row>
    <row r="75" spans="1:26">
      <c r="A75" s="331">
        <v>2046</v>
      </c>
      <c r="B75" s="334">
        <f t="shared" si="3"/>
        <v>30620.103352147991</v>
      </c>
      <c r="C75" s="334">
        <f t="shared" si="4"/>
        <v>30773.203868908728</v>
      </c>
      <c r="D75" s="334">
        <f t="shared" si="4"/>
        <v>30927.069888253267</v>
      </c>
      <c r="E75" s="334">
        <f t="shared" si="4"/>
        <v>31081.705237694528</v>
      </c>
      <c r="F75" s="334">
        <f t="shared" si="4"/>
        <v>31237.113763882997</v>
      </c>
      <c r="G75" s="334">
        <f t="shared" si="4"/>
        <v>31393.299332702409</v>
      </c>
      <c r="H75" s="334">
        <f t="shared" si="4"/>
        <v>31550.265829365919</v>
      </c>
      <c r="I75" s="334">
        <f t="shared" si="4"/>
        <v>31708.017158512746</v>
      </c>
      <c r="J75" s="334">
        <f t="shared" si="4"/>
        <v>31866.557244305306</v>
      </c>
      <c r="K75" s="334">
        <f t="shared" si="4"/>
        <v>32025.890030526829</v>
      </c>
      <c r="L75" s="334">
        <f t="shared" si="4"/>
        <v>32186.019480679461</v>
      </c>
      <c r="M75" s="334">
        <f t="shared" si="4"/>
        <v>32346.949578082855</v>
      </c>
      <c r="N75" s="312"/>
      <c r="O75" s="333" t="str">
        <f t="shared" si="5"/>
        <v>204601</v>
      </c>
      <c r="P75" s="333" t="str">
        <f t="shared" si="5"/>
        <v>204602</v>
      </c>
      <c r="Q75" s="333" t="str">
        <f t="shared" si="5"/>
        <v>204603</v>
      </c>
      <c r="R75" s="333" t="str">
        <f t="shared" si="5"/>
        <v>204604</v>
      </c>
      <c r="S75" s="333" t="str">
        <f t="shared" si="5"/>
        <v>204605</v>
      </c>
      <c r="T75" s="333" t="str">
        <f t="shared" si="5"/>
        <v>204606</v>
      </c>
      <c r="U75" s="333" t="str">
        <f t="shared" si="5"/>
        <v>204607</v>
      </c>
      <c r="V75" s="333" t="str">
        <f t="shared" si="5"/>
        <v>204608</v>
      </c>
      <c r="W75" s="333" t="str">
        <f t="shared" si="5"/>
        <v>204609</v>
      </c>
      <c r="X75" s="333" t="str">
        <f t="shared" si="5"/>
        <v>204610</v>
      </c>
      <c r="Y75" s="333" t="str">
        <f t="shared" si="5"/>
        <v>204611</v>
      </c>
      <c r="Z75" s="333" t="str">
        <f t="shared" si="5"/>
        <v>204612</v>
      </c>
    </row>
    <row r="76" spans="1:26">
      <c r="A76" s="331">
        <v>2047</v>
      </c>
      <c r="B76" s="334">
        <f t="shared" si="3"/>
        <v>32508.684325973267</v>
      </c>
      <c r="C76" s="334">
        <f t="shared" si="4"/>
        <v>32671.22774760313</v>
      </c>
      <c r="D76" s="334">
        <f t="shared" si="4"/>
        <v>32834.583886341141</v>
      </c>
      <c r="E76" s="334">
        <f t="shared" si="4"/>
        <v>32998.756805772842</v>
      </c>
      <c r="F76" s="334">
        <f t="shared" si="4"/>
        <v>33163.750589801704</v>
      </c>
      <c r="G76" s="334">
        <f t="shared" si="4"/>
        <v>33329.569342750707</v>
      </c>
      <c r="H76" s="334">
        <f t="shared" si="4"/>
        <v>33496.217189464456</v>
      </c>
      <c r="I76" s="334">
        <f t="shared" si="4"/>
        <v>33663.698275411778</v>
      </c>
      <c r="J76" s="334">
        <f t="shared" si="4"/>
        <v>33832.016766788831</v>
      </c>
      <c r="K76" s="334">
        <f t="shared" si="4"/>
        <v>34001.176850622775</v>
      </c>
      <c r="L76" s="334">
        <f t="shared" si="4"/>
        <v>34171.182734875882</v>
      </c>
      <c r="M76" s="334">
        <f t="shared" si="4"/>
        <v>34342.03864855026</v>
      </c>
      <c r="N76" s="312"/>
      <c r="O76" s="333" t="str">
        <f t="shared" si="5"/>
        <v>204701</v>
      </c>
      <c r="P76" s="333" t="str">
        <f t="shared" si="5"/>
        <v>204702</v>
      </c>
      <c r="Q76" s="333" t="str">
        <f t="shared" si="5"/>
        <v>204703</v>
      </c>
      <c r="R76" s="333" t="str">
        <f t="shared" ref="R76:Z99" si="6">$A76&amp;TEXT(E$18,"00")</f>
        <v>204704</v>
      </c>
      <c r="S76" s="333" t="str">
        <f t="shared" si="6"/>
        <v>204705</v>
      </c>
      <c r="T76" s="333" t="str">
        <f t="shared" si="6"/>
        <v>204706</v>
      </c>
      <c r="U76" s="333" t="str">
        <f t="shared" si="6"/>
        <v>204707</v>
      </c>
      <c r="V76" s="333" t="str">
        <f t="shared" si="6"/>
        <v>204708</v>
      </c>
      <c r="W76" s="333" t="str">
        <f t="shared" si="6"/>
        <v>204709</v>
      </c>
      <c r="X76" s="333" t="str">
        <f t="shared" si="6"/>
        <v>204710</v>
      </c>
      <c r="Y76" s="333" t="str">
        <f t="shared" si="6"/>
        <v>204711</v>
      </c>
      <c r="Z76" s="333" t="str">
        <f t="shared" si="6"/>
        <v>204712</v>
      </c>
    </row>
    <row r="77" spans="1:26">
      <c r="A77" s="331">
        <v>2040</v>
      </c>
      <c r="B77" s="334">
        <f t="shared" si="3"/>
        <v>34513.748841793007</v>
      </c>
      <c r="C77" s="334">
        <f t="shared" si="4"/>
        <v>34686.317586001969</v>
      </c>
      <c r="D77" s="334">
        <f t="shared" si="4"/>
        <v>34859.749173931974</v>
      </c>
      <c r="E77" s="334">
        <f t="shared" si="4"/>
        <v>35034.047919801633</v>
      </c>
      <c r="F77" s="334">
        <f t="shared" si="4"/>
        <v>35209.21815940064</v>
      </c>
      <c r="G77" s="334">
        <f t="shared" si="4"/>
        <v>35385.264250197637</v>
      </c>
      <c r="H77" s="334">
        <f t="shared" si="4"/>
        <v>35562.19057144862</v>
      </c>
      <c r="I77" s="334">
        <f t="shared" si="4"/>
        <v>35740.001524305859</v>
      </c>
      <c r="J77" s="334">
        <f t="shared" si="4"/>
        <v>35918.701531927385</v>
      </c>
      <c r="K77" s="334">
        <f t="shared" si="4"/>
        <v>36098.295039587021</v>
      </c>
      <c r="L77" s="334">
        <f t="shared" si="4"/>
        <v>36278.786514784952</v>
      </c>
      <c r="M77" s="334">
        <f t="shared" si="4"/>
        <v>36460.180447358871</v>
      </c>
      <c r="N77" s="312"/>
      <c r="O77" s="333" t="str">
        <f t="shared" ref="O77:Q99" si="7">$A77&amp;TEXT(B$18,"00")</f>
        <v>204001</v>
      </c>
      <c r="P77" s="333" t="str">
        <f t="shared" si="7"/>
        <v>204002</v>
      </c>
      <c r="Q77" s="333" t="str">
        <f t="shared" si="7"/>
        <v>204003</v>
      </c>
      <c r="R77" s="333" t="str">
        <f t="shared" si="6"/>
        <v>204004</v>
      </c>
      <c r="S77" s="333" t="str">
        <f t="shared" si="6"/>
        <v>204005</v>
      </c>
      <c r="T77" s="333" t="str">
        <f t="shared" si="6"/>
        <v>204006</v>
      </c>
      <c r="U77" s="333" t="str">
        <f t="shared" si="6"/>
        <v>204007</v>
      </c>
      <c r="V77" s="333" t="str">
        <f t="shared" si="6"/>
        <v>204008</v>
      </c>
      <c r="W77" s="333" t="str">
        <f t="shared" si="6"/>
        <v>204009</v>
      </c>
      <c r="X77" s="333" t="str">
        <f t="shared" si="6"/>
        <v>204010</v>
      </c>
      <c r="Y77" s="333" t="str">
        <f t="shared" si="6"/>
        <v>204011</v>
      </c>
      <c r="Z77" s="333" t="str">
        <f t="shared" si="6"/>
        <v>204012</v>
      </c>
    </row>
    <row r="78" spans="1:26">
      <c r="A78" s="331">
        <v>2049</v>
      </c>
      <c r="B78" s="334">
        <f t="shared" si="3"/>
        <v>36642.481349595662</v>
      </c>
      <c r="C78" s="334">
        <f t="shared" si="4"/>
        <v>36825.693756343637</v>
      </c>
      <c r="D78" s="334">
        <f t="shared" si="4"/>
        <v>37009.822225125354</v>
      </c>
      <c r="E78" s="334">
        <f t="shared" si="4"/>
        <v>37194.871336250973</v>
      </c>
      <c r="F78" s="334">
        <f t="shared" si="4"/>
        <v>37380.845692932227</v>
      </c>
      <c r="G78" s="334">
        <f t="shared" si="4"/>
        <v>37567.749921396884</v>
      </c>
      <c r="H78" s="334">
        <f t="shared" si="4"/>
        <v>37755.588671003861</v>
      </c>
      <c r="I78" s="334">
        <f t="shared" si="4"/>
        <v>37944.366614358878</v>
      </c>
      <c r="J78" s="334">
        <f t="shared" si="4"/>
        <v>38134.088447430666</v>
      </c>
      <c r="K78" s="334">
        <f t="shared" si="4"/>
        <v>38324.758889667813</v>
      </c>
      <c r="L78" s="334">
        <f t="shared" si="4"/>
        <v>38516.38268411615</v>
      </c>
      <c r="M78" s="334">
        <f t="shared" si="4"/>
        <v>38708.964597536724</v>
      </c>
      <c r="N78" s="312"/>
      <c r="O78" s="333" t="str">
        <f t="shared" si="7"/>
        <v>204901</v>
      </c>
      <c r="P78" s="333" t="str">
        <f t="shared" si="7"/>
        <v>204902</v>
      </c>
      <c r="Q78" s="333" t="str">
        <f t="shared" si="7"/>
        <v>204903</v>
      </c>
      <c r="R78" s="333" t="str">
        <f t="shared" si="6"/>
        <v>204904</v>
      </c>
      <c r="S78" s="333" t="str">
        <f t="shared" si="6"/>
        <v>204905</v>
      </c>
      <c r="T78" s="333" t="str">
        <f t="shared" si="6"/>
        <v>204906</v>
      </c>
      <c r="U78" s="333" t="str">
        <f t="shared" si="6"/>
        <v>204907</v>
      </c>
      <c r="V78" s="333" t="str">
        <f t="shared" si="6"/>
        <v>204908</v>
      </c>
      <c r="W78" s="333" t="str">
        <f t="shared" si="6"/>
        <v>204909</v>
      </c>
      <c r="X78" s="333" t="str">
        <f t="shared" si="6"/>
        <v>204910</v>
      </c>
      <c r="Y78" s="333" t="str">
        <f t="shared" si="6"/>
        <v>204911</v>
      </c>
      <c r="Z78" s="333" t="str">
        <f t="shared" si="6"/>
        <v>204912</v>
      </c>
    </row>
    <row r="79" spans="1:26">
      <c r="A79" s="331">
        <v>2050</v>
      </c>
      <c r="B79" s="334">
        <f t="shared" si="3"/>
        <v>38902.509420524402</v>
      </c>
      <c r="C79" s="334">
        <f t="shared" si="4"/>
        <v>39097.021967627021</v>
      </c>
      <c r="D79" s="334">
        <f t="shared" si="4"/>
        <v>39292.507077465154</v>
      </c>
      <c r="E79" s="334">
        <f t="shared" si="4"/>
        <v>39488.969612852474</v>
      </c>
      <c r="F79" s="334">
        <f t="shared" si="4"/>
        <v>39686.414460916734</v>
      </c>
      <c r="G79" s="334">
        <f t="shared" si="4"/>
        <v>39884.846533221316</v>
      </c>
      <c r="H79" s="334">
        <f t="shared" si="4"/>
        <v>40084.270765887421</v>
      </c>
      <c r="I79" s="334">
        <f t="shared" si="4"/>
        <v>40284.692119716856</v>
      </c>
      <c r="J79" s="334">
        <f t="shared" si="4"/>
        <v>40486.115580315432</v>
      </c>
      <c r="K79" s="334">
        <f t="shared" si="4"/>
        <v>40688.546158217003</v>
      </c>
      <c r="L79" s="334">
        <f t="shared" si="4"/>
        <v>40891.988889008084</v>
      </c>
      <c r="M79" s="334">
        <f t="shared" si="4"/>
        <v>41096.44883345312</v>
      </c>
      <c r="N79" s="312"/>
      <c r="O79" s="333" t="str">
        <f t="shared" si="7"/>
        <v>205001</v>
      </c>
      <c r="P79" s="333" t="str">
        <f t="shared" si="7"/>
        <v>205002</v>
      </c>
      <c r="Q79" s="333" t="str">
        <f t="shared" si="7"/>
        <v>205003</v>
      </c>
      <c r="R79" s="333" t="str">
        <f t="shared" si="6"/>
        <v>205004</v>
      </c>
      <c r="S79" s="333" t="str">
        <f t="shared" si="6"/>
        <v>205005</v>
      </c>
      <c r="T79" s="333" t="str">
        <f t="shared" si="6"/>
        <v>205006</v>
      </c>
      <c r="U79" s="333" t="str">
        <f t="shared" si="6"/>
        <v>205007</v>
      </c>
      <c r="V79" s="333" t="str">
        <f t="shared" si="6"/>
        <v>205008</v>
      </c>
      <c r="W79" s="333" t="str">
        <f t="shared" si="6"/>
        <v>205009</v>
      </c>
      <c r="X79" s="333" t="str">
        <f t="shared" si="6"/>
        <v>205010</v>
      </c>
      <c r="Y79" s="333" t="str">
        <f t="shared" si="6"/>
        <v>205011</v>
      </c>
      <c r="Z79" s="333" t="str">
        <f t="shared" si="6"/>
        <v>205012</v>
      </c>
    </row>
    <row r="80" spans="1:26">
      <c r="A80" s="331">
        <v>2051</v>
      </c>
      <c r="B80" s="334">
        <f t="shared" si="3"/>
        <v>41301.931077620378</v>
      </c>
      <c r="C80" s="334">
        <f t="shared" si="4"/>
        <v>41508.440733008472</v>
      </c>
      <c r="D80" s="334">
        <f t="shared" si="4"/>
        <v>41715.982936673507</v>
      </c>
      <c r="E80" s="334">
        <f t="shared" si="4"/>
        <v>41924.562851356866</v>
      </c>
      <c r="F80" s="334">
        <f t="shared" si="4"/>
        <v>42134.185665613644</v>
      </c>
      <c r="G80" s="334">
        <f t="shared" si="4"/>
        <v>42344.856593941709</v>
      </c>
      <c r="H80" s="334">
        <f t="shared" si="4"/>
        <v>42556.580876911416</v>
      </c>
      <c r="I80" s="334">
        <f t="shared" si="4"/>
        <v>42769.363781295971</v>
      </c>
      <c r="J80" s="334">
        <f t="shared" si="4"/>
        <v>42983.210600202445</v>
      </c>
      <c r="K80" s="334">
        <f t="shared" si="4"/>
        <v>43198.12665320345</v>
      </c>
      <c r="L80" s="334">
        <f t="shared" si="4"/>
        <v>43414.11728646946</v>
      </c>
      <c r="M80" s="334">
        <f t="shared" si="4"/>
        <v>43631.187872901799</v>
      </c>
      <c r="N80" s="312"/>
      <c r="O80" s="333" t="str">
        <f t="shared" si="7"/>
        <v>205101</v>
      </c>
      <c r="P80" s="333" t="str">
        <f t="shared" si="7"/>
        <v>205102</v>
      </c>
      <c r="Q80" s="333" t="str">
        <f t="shared" si="7"/>
        <v>205103</v>
      </c>
      <c r="R80" s="333" t="str">
        <f t="shared" si="6"/>
        <v>205104</v>
      </c>
      <c r="S80" s="333" t="str">
        <f t="shared" si="6"/>
        <v>205105</v>
      </c>
      <c r="T80" s="333" t="str">
        <f t="shared" si="6"/>
        <v>205106</v>
      </c>
      <c r="U80" s="333" t="str">
        <f t="shared" si="6"/>
        <v>205107</v>
      </c>
      <c r="V80" s="333" t="str">
        <f t="shared" si="6"/>
        <v>205108</v>
      </c>
      <c r="W80" s="333" t="str">
        <f t="shared" si="6"/>
        <v>205109</v>
      </c>
      <c r="X80" s="333" t="str">
        <f t="shared" si="6"/>
        <v>205110</v>
      </c>
      <c r="Y80" s="333" t="str">
        <f t="shared" si="6"/>
        <v>205111</v>
      </c>
      <c r="Z80" s="333" t="str">
        <f t="shared" si="6"/>
        <v>205112</v>
      </c>
    </row>
    <row r="81" spans="1:26">
      <c r="A81" s="331">
        <v>2052</v>
      </c>
      <c r="B81" s="334">
        <f t="shared" si="3"/>
        <v>43849.343812266306</v>
      </c>
      <c r="C81" s="334">
        <f t="shared" si="4"/>
        <v>44068.590531327631</v>
      </c>
      <c r="D81" s="334">
        <f t="shared" si="4"/>
        <v>44288.933483984263</v>
      </c>
      <c r="E81" s="334">
        <f t="shared" si="4"/>
        <v>44510.378151404177</v>
      </c>
      <c r="F81" s="334">
        <f t="shared" si="4"/>
        <v>44732.930042161192</v>
      </c>
      <c r="G81" s="334">
        <f t="shared" si="4"/>
        <v>44956.594692371989</v>
      </c>
      <c r="H81" s="334">
        <f t="shared" si="4"/>
        <v>45181.377665833847</v>
      </c>
      <c r="I81" s="334">
        <f t="shared" si="4"/>
        <v>45407.284554163009</v>
      </c>
      <c r="J81" s="334">
        <f t="shared" si="4"/>
        <v>45634.320976933821</v>
      </c>
      <c r="K81" s="334">
        <f t="shared" si="4"/>
        <v>45862.492581818486</v>
      </c>
      <c r="L81" s="334">
        <f t="shared" si="4"/>
        <v>46091.805044727575</v>
      </c>
      <c r="M81" s="334">
        <f t="shared" si="4"/>
        <v>46322.264069951205</v>
      </c>
      <c r="N81" s="312"/>
      <c r="O81" s="333" t="str">
        <f t="shared" si="7"/>
        <v>205201</v>
      </c>
      <c r="P81" s="333" t="str">
        <f t="shared" si="7"/>
        <v>205202</v>
      </c>
      <c r="Q81" s="333" t="str">
        <f t="shared" si="7"/>
        <v>205203</v>
      </c>
      <c r="R81" s="333" t="str">
        <f t="shared" si="6"/>
        <v>205204</v>
      </c>
      <c r="S81" s="333" t="str">
        <f t="shared" si="6"/>
        <v>205205</v>
      </c>
      <c r="T81" s="333" t="str">
        <f t="shared" si="6"/>
        <v>205206</v>
      </c>
      <c r="U81" s="333" t="str">
        <f t="shared" si="6"/>
        <v>205207</v>
      </c>
      <c r="V81" s="333" t="str">
        <f t="shared" si="6"/>
        <v>205208</v>
      </c>
      <c r="W81" s="333" t="str">
        <f t="shared" si="6"/>
        <v>205209</v>
      </c>
      <c r="X81" s="333" t="str">
        <f t="shared" si="6"/>
        <v>205210</v>
      </c>
      <c r="Y81" s="333" t="str">
        <f t="shared" si="6"/>
        <v>205211</v>
      </c>
      <c r="Z81" s="333" t="str">
        <f t="shared" si="6"/>
        <v>205212</v>
      </c>
    </row>
    <row r="82" spans="1:26">
      <c r="A82" s="331">
        <v>2053</v>
      </c>
      <c r="B82" s="334">
        <f t="shared" si="3"/>
        <v>46553.875390300956</v>
      </c>
      <c r="C82" s="334">
        <f t="shared" si="4"/>
        <v>46786.644767252459</v>
      </c>
      <c r="D82" s="334">
        <f t="shared" si="4"/>
        <v>47020.577991088714</v>
      </c>
      <c r="E82" s="334">
        <f t="shared" si="4"/>
        <v>47255.680881044151</v>
      </c>
      <c r="F82" s="334">
        <f t="shared" si="4"/>
        <v>47491.959285449368</v>
      </c>
      <c r="G82" s="334">
        <f t="shared" si="4"/>
        <v>47729.419081876607</v>
      </c>
      <c r="H82" s="334">
        <f t="shared" si="4"/>
        <v>47968.066177285982</v>
      </c>
      <c r="I82" s="334">
        <f t="shared" si="4"/>
        <v>48207.906508172404</v>
      </c>
      <c r="J82" s="334">
        <f t="shared" si="4"/>
        <v>48448.946040713257</v>
      </c>
      <c r="K82" s="334">
        <f t="shared" si="4"/>
        <v>48691.190770916815</v>
      </c>
      <c r="L82" s="334">
        <f t="shared" si="4"/>
        <v>48934.646724771395</v>
      </c>
      <c r="M82" s="334">
        <f t="shared" si="4"/>
        <v>49179.319958395245</v>
      </c>
      <c r="N82" s="312"/>
      <c r="O82" s="333" t="str">
        <f t="shared" si="7"/>
        <v>205301</v>
      </c>
      <c r="P82" s="333" t="str">
        <f t="shared" si="7"/>
        <v>205302</v>
      </c>
      <c r="Q82" s="333" t="str">
        <f t="shared" si="7"/>
        <v>205303</v>
      </c>
      <c r="R82" s="333" t="str">
        <f t="shared" si="6"/>
        <v>205304</v>
      </c>
      <c r="S82" s="333" t="str">
        <f t="shared" si="6"/>
        <v>205305</v>
      </c>
      <c r="T82" s="333" t="str">
        <f t="shared" si="6"/>
        <v>205306</v>
      </c>
      <c r="U82" s="333" t="str">
        <f t="shared" si="6"/>
        <v>205307</v>
      </c>
      <c r="V82" s="333" t="str">
        <f t="shared" si="6"/>
        <v>205308</v>
      </c>
      <c r="W82" s="333" t="str">
        <f t="shared" si="6"/>
        <v>205309</v>
      </c>
      <c r="X82" s="333" t="str">
        <f t="shared" si="6"/>
        <v>205310</v>
      </c>
      <c r="Y82" s="333" t="str">
        <f t="shared" si="6"/>
        <v>205311</v>
      </c>
      <c r="Z82" s="333" t="str">
        <f t="shared" si="6"/>
        <v>205312</v>
      </c>
    </row>
    <row r="83" spans="1:26">
      <c r="A83" s="331">
        <v>2054</v>
      </c>
      <c r="B83" s="334">
        <f t="shared" si="3"/>
        <v>49425.216558187218</v>
      </c>
      <c r="C83" s="334">
        <f t="shared" si="4"/>
        <v>49672.342640978146</v>
      </c>
      <c r="D83" s="334">
        <f t="shared" si="4"/>
        <v>49920.704354183028</v>
      </c>
      <c r="E83" s="334">
        <f t="shared" si="4"/>
        <v>50170.307875953935</v>
      </c>
      <c r="F83" s="334">
        <f t="shared" si="4"/>
        <v>50421.159415333699</v>
      </c>
      <c r="G83" s="334">
        <f t="shared" si="4"/>
        <v>50673.265212410362</v>
      </c>
      <c r="H83" s="334">
        <f t="shared" si="4"/>
        <v>50926.631538472408</v>
      </c>
      <c r="I83" s="334">
        <f t="shared" si="4"/>
        <v>51181.264696164762</v>
      </c>
      <c r="J83" s="334">
        <f t="shared" si="4"/>
        <v>51437.171019645582</v>
      </c>
      <c r="K83" s="334">
        <f t="shared" si="4"/>
        <v>51694.356874743804</v>
      </c>
      <c r="L83" s="334">
        <f t="shared" si="4"/>
        <v>51952.82865911752</v>
      </c>
      <c r="M83" s="334">
        <f t="shared" si="4"/>
        <v>52212.592802413099</v>
      </c>
      <c r="N83" s="312"/>
      <c r="O83" s="333" t="str">
        <f t="shared" si="7"/>
        <v>205401</v>
      </c>
      <c r="P83" s="333" t="str">
        <f t="shared" si="7"/>
        <v>205402</v>
      </c>
      <c r="Q83" s="333" t="str">
        <f t="shared" si="7"/>
        <v>205403</v>
      </c>
      <c r="R83" s="333" t="str">
        <f t="shared" si="6"/>
        <v>205404</v>
      </c>
      <c r="S83" s="333" t="str">
        <f t="shared" si="6"/>
        <v>205405</v>
      </c>
      <c r="T83" s="333" t="str">
        <f t="shared" si="6"/>
        <v>205406</v>
      </c>
      <c r="U83" s="333" t="str">
        <f t="shared" si="6"/>
        <v>205407</v>
      </c>
      <c r="V83" s="333" t="str">
        <f t="shared" si="6"/>
        <v>205408</v>
      </c>
      <c r="W83" s="333" t="str">
        <f t="shared" si="6"/>
        <v>205409</v>
      </c>
      <c r="X83" s="333" t="str">
        <f t="shared" si="6"/>
        <v>205410</v>
      </c>
      <c r="Y83" s="333" t="str">
        <f t="shared" si="6"/>
        <v>205411</v>
      </c>
      <c r="Z83" s="333" t="str">
        <f t="shared" si="6"/>
        <v>205412</v>
      </c>
    </row>
    <row r="84" spans="1:26">
      <c r="A84" s="331">
        <v>2055</v>
      </c>
      <c r="B84" s="334">
        <f t="shared" si="3"/>
        <v>52473.65576642516</v>
      </c>
      <c r="C84" s="334">
        <f t="shared" si="4"/>
        <v>52736.024045257276</v>
      </c>
      <c r="D84" s="334">
        <f t="shared" si="4"/>
        <v>52999.704165483556</v>
      </c>
      <c r="E84" s="334">
        <f t="shared" si="4"/>
        <v>53264.702686310971</v>
      </c>
      <c r="F84" s="334">
        <f t="shared" si="4"/>
        <v>53531.026199742519</v>
      </c>
      <c r="G84" s="334">
        <f t="shared" si="4"/>
        <v>53798.681330741223</v>
      </c>
      <c r="H84" s="334">
        <f t="shared" si="4"/>
        <v>54067.674737394926</v>
      </c>
      <c r="I84" s="334">
        <f t="shared" si="4"/>
        <v>54338.013111081891</v>
      </c>
      <c r="J84" s="334">
        <f t="shared" si="4"/>
        <v>54609.703176637297</v>
      </c>
      <c r="K84" s="334">
        <f t="shared" si="4"/>
        <v>54882.751692520476</v>
      </c>
      <c r="L84" s="334">
        <f t="shared" si="4"/>
        <v>55157.16545098307</v>
      </c>
      <c r="M84" s="334">
        <f t="shared" si="4"/>
        <v>55432.951278237982</v>
      </c>
      <c r="N84" s="312"/>
      <c r="O84" s="333" t="str">
        <f t="shared" si="7"/>
        <v>205501</v>
      </c>
      <c r="P84" s="333" t="str">
        <f t="shared" si="7"/>
        <v>205502</v>
      </c>
      <c r="Q84" s="333" t="str">
        <f t="shared" si="7"/>
        <v>205503</v>
      </c>
      <c r="R84" s="333" t="str">
        <f t="shared" si="6"/>
        <v>205504</v>
      </c>
      <c r="S84" s="333" t="str">
        <f t="shared" si="6"/>
        <v>205505</v>
      </c>
      <c r="T84" s="333" t="str">
        <f t="shared" si="6"/>
        <v>205506</v>
      </c>
      <c r="U84" s="333" t="str">
        <f t="shared" si="6"/>
        <v>205507</v>
      </c>
      <c r="V84" s="333" t="str">
        <f t="shared" si="6"/>
        <v>205508</v>
      </c>
      <c r="W84" s="333" t="str">
        <f t="shared" si="6"/>
        <v>205509</v>
      </c>
      <c r="X84" s="333" t="str">
        <f t="shared" si="6"/>
        <v>205510</v>
      </c>
      <c r="Y84" s="333" t="str">
        <f t="shared" si="6"/>
        <v>205511</v>
      </c>
      <c r="Z84" s="333" t="str">
        <f t="shared" si="6"/>
        <v>205512</v>
      </c>
    </row>
    <row r="85" spans="1:26">
      <c r="A85" s="331">
        <v>2056</v>
      </c>
      <c r="B85" s="334">
        <f t="shared" si="3"/>
        <v>55710.116034629165</v>
      </c>
      <c r="C85" s="334">
        <f t="shared" si="4"/>
        <v>55988.666614802307</v>
      </c>
      <c r="D85" s="334">
        <f t="shared" si="4"/>
        <v>56268.609947876314</v>
      </c>
      <c r="E85" s="334">
        <f t="shared" si="4"/>
        <v>56549.952997615692</v>
      </c>
      <c r="F85" s="334">
        <f t="shared" si="4"/>
        <v>56832.702762603767</v>
      </c>
      <c r="G85" s="334">
        <f t="shared" si="4"/>
        <v>57116.866276416782</v>
      </c>
      <c r="H85" s="334">
        <f t="shared" si="4"/>
        <v>57402.450607798863</v>
      </c>
      <c r="I85" s="334">
        <f t="shared" si="4"/>
        <v>57689.462860837848</v>
      </c>
      <c r="J85" s="334">
        <f t="shared" si="4"/>
        <v>57977.910175142031</v>
      </c>
      <c r="K85" s="334">
        <f t="shared" si="4"/>
        <v>58267.799726017736</v>
      </c>
      <c r="L85" s="334">
        <f t="shared" si="4"/>
        <v>58559.138724647819</v>
      </c>
      <c r="M85" s="334">
        <f t="shared" si="4"/>
        <v>58851.934418271048</v>
      </c>
      <c r="N85" s="312"/>
      <c r="O85" s="333" t="str">
        <f t="shared" si="7"/>
        <v>205601</v>
      </c>
      <c r="P85" s="333" t="str">
        <f t="shared" si="7"/>
        <v>205602</v>
      </c>
      <c r="Q85" s="333" t="str">
        <f t="shared" si="7"/>
        <v>205603</v>
      </c>
      <c r="R85" s="333" t="str">
        <f t="shared" si="6"/>
        <v>205604</v>
      </c>
      <c r="S85" s="333" t="str">
        <f t="shared" si="6"/>
        <v>205605</v>
      </c>
      <c r="T85" s="333" t="str">
        <f t="shared" si="6"/>
        <v>205606</v>
      </c>
      <c r="U85" s="333" t="str">
        <f t="shared" si="6"/>
        <v>205607</v>
      </c>
      <c r="V85" s="333" t="str">
        <f t="shared" si="6"/>
        <v>205608</v>
      </c>
      <c r="W85" s="333" t="str">
        <f t="shared" si="6"/>
        <v>205609</v>
      </c>
      <c r="X85" s="333" t="str">
        <f t="shared" si="6"/>
        <v>205610</v>
      </c>
      <c r="Y85" s="333" t="str">
        <f t="shared" si="6"/>
        <v>205611</v>
      </c>
      <c r="Z85" s="333" t="str">
        <f t="shared" si="6"/>
        <v>205612</v>
      </c>
    </row>
    <row r="86" spans="1:26">
      <c r="A86" s="331">
        <v>2057</v>
      </c>
      <c r="B86" s="334">
        <f t="shared" si="3"/>
        <v>59146.194090362398</v>
      </c>
      <c r="C86" s="334">
        <f t="shared" si="4"/>
        <v>59441.925060814203</v>
      </c>
      <c r="D86" s="334">
        <f t="shared" si="4"/>
        <v>59739.134686118268</v>
      </c>
      <c r="E86" s="334">
        <f t="shared" si="4"/>
        <v>60037.830359548854</v>
      </c>
      <c r="F86" s="334">
        <f t="shared" si="4"/>
        <v>60338.019511346589</v>
      </c>
      <c r="G86" s="334">
        <f t="shared" si="4"/>
        <v>60639.709608903315</v>
      </c>
      <c r="H86" s="334">
        <f t="shared" si="4"/>
        <v>60942.908156947822</v>
      </c>
      <c r="I86" s="334">
        <f t="shared" si="4"/>
        <v>61247.622697732557</v>
      </c>
      <c r="J86" s="334">
        <f t="shared" si="4"/>
        <v>61553.86081122121</v>
      </c>
      <c r="K86" s="334">
        <f t="shared" si="4"/>
        <v>61861.630115277309</v>
      </c>
      <c r="L86" s="334">
        <f t="shared" si="4"/>
        <v>62170.938265853685</v>
      </c>
      <c r="M86" s="334">
        <f t="shared" si="4"/>
        <v>62481.792957182945</v>
      </c>
      <c r="N86" s="312"/>
      <c r="O86" s="333" t="str">
        <f t="shared" si="7"/>
        <v>205701</v>
      </c>
      <c r="P86" s="333" t="str">
        <f t="shared" si="7"/>
        <v>205702</v>
      </c>
      <c r="Q86" s="333" t="str">
        <f t="shared" si="7"/>
        <v>205703</v>
      </c>
      <c r="R86" s="333" t="str">
        <f t="shared" si="6"/>
        <v>205704</v>
      </c>
      <c r="S86" s="333" t="str">
        <f t="shared" si="6"/>
        <v>205705</v>
      </c>
      <c r="T86" s="333" t="str">
        <f t="shared" si="6"/>
        <v>205706</v>
      </c>
      <c r="U86" s="333" t="str">
        <f t="shared" si="6"/>
        <v>205707</v>
      </c>
      <c r="V86" s="333" t="str">
        <f t="shared" si="6"/>
        <v>205708</v>
      </c>
      <c r="W86" s="333" t="str">
        <f t="shared" si="6"/>
        <v>205709</v>
      </c>
      <c r="X86" s="333" t="str">
        <f t="shared" si="6"/>
        <v>205710</v>
      </c>
      <c r="Y86" s="333" t="str">
        <f t="shared" si="6"/>
        <v>205711</v>
      </c>
      <c r="Z86" s="333" t="str">
        <f t="shared" si="6"/>
        <v>205712</v>
      </c>
    </row>
    <row r="87" spans="1:26">
      <c r="A87" s="331">
        <v>2058</v>
      </c>
      <c r="B87" s="334">
        <f t="shared" si="3"/>
        <v>62794.201921968852</v>
      </c>
      <c r="C87" s="334">
        <f t="shared" si="4"/>
        <v>63108.172931578687</v>
      </c>
      <c r="D87" s="334">
        <f t="shared" si="4"/>
        <v>63423.713796236574</v>
      </c>
      <c r="E87" s="334">
        <f t="shared" si="4"/>
        <v>63740.83236521775</v>
      </c>
      <c r="F87" s="334">
        <f t="shared" si="4"/>
        <v>64059.536527043834</v>
      </c>
      <c r="G87" s="334">
        <f t="shared" si="4"/>
        <v>64379.834209679044</v>
      </c>
      <c r="H87" s="334">
        <f t="shared" si="4"/>
        <v>64701.733380727434</v>
      </c>
      <c r="I87" s="334">
        <f t="shared" si="4"/>
        <v>65025.242047631065</v>
      </c>
      <c r="J87" s="334">
        <f t="shared" si="4"/>
        <v>65350.368257869217</v>
      </c>
      <c r="K87" s="334">
        <f t="shared" si="4"/>
        <v>65677.12009915855</v>
      </c>
      <c r="L87" s="334">
        <f t="shared" si="4"/>
        <v>66005.505699654343</v>
      </c>
      <c r="M87" s="334">
        <f t="shared" si="4"/>
        <v>66335.533228152606</v>
      </c>
      <c r="N87" s="312"/>
      <c r="O87" s="333" t="str">
        <f t="shared" si="7"/>
        <v>205801</v>
      </c>
      <c r="P87" s="333" t="str">
        <f t="shared" si="7"/>
        <v>205802</v>
      </c>
      <c r="Q87" s="333" t="str">
        <f t="shared" si="7"/>
        <v>205803</v>
      </c>
      <c r="R87" s="333" t="str">
        <f t="shared" si="6"/>
        <v>205804</v>
      </c>
      <c r="S87" s="333" t="str">
        <f t="shared" si="6"/>
        <v>205805</v>
      </c>
      <c r="T87" s="333" t="str">
        <f t="shared" si="6"/>
        <v>205806</v>
      </c>
      <c r="U87" s="333" t="str">
        <f t="shared" si="6"/>
        <v>205807</v>
      </c>
      <c r="V87" s="333" t="str">
        <f t="shared" si="6"/>
        <v>205808</v>
      </c>
      <c r="W87" s="333" t="str">
        <f t="shared" si="6"/>
        <v>205809</v>
      </c>
      <c r="X87" s="333" t="str">
        <f t="shared" si="6"/>
        <v>205810</v>
      </c>
      <c r="Y87" s="333" t="str">
        <f t="shared" si="6"/>
        <v>205811</v>
      </c>
      <c r="Z87" s="333" t="str">
        <f t="shared" si="6"/>
        <v>205812</v>
      </c>
    </row>
    <row r="88" spans="1:26">
      <c r="A88" s="331">
        <v>2059</v>
      </c>
      <c r="B88" s="334">
        <f t="shared" si="3"/>
        <v>66667.210894293356</v>
      </c>
      <c r="C88" s="334">
        <f t="shared" si="4"/>
        <v>67000.546948764822</v>
      </c>
      <c r="D88" s="334">
        <f t="shared" si="4"/>
        <v>67335.549683508638</v>
      </c>
      <c r="E88" s="334">
        <f t="shared" si="4"/>
        <v>67672.227431926178</v>
      </c>
      <c r="F88" s="334">
        <f t="shared" si="4"/>
        <v>68010.588569085798</v>
      </c>
      <c r="G88" s="334">
        <f t="shared" si="4"/>
        <v>68350.641511931215</v>
      </c>
      <c r="H88" s="334">
        <f t="shared" si="4"/>
        <v>68692.394719490869</v>
      </c>
      <c r="I88" s="334">
        <f t="shared" si="4"/>
        <v>69035.85669308831</v>
      </c>
      <c r="J88" s="334">
        <f t="shared" si="4"/>
        <v>69381.035976553743</v>
      </c>
      <c r="K88" s="334">
        <f t="shared" si="4"/>
        <v>69727.9411564365</v>
      </c>
      <c r="L88" s="334">
        <f t="shared" si="4"/>
        <v>70076.580862218674</v>
      </c>
      <c r="M88" s="334">
        <f t="shared" si="4"/>
        <v>70426.963766529763</v>
      </c>
      <c r="N88" s="312"/>
      <c r="O88" s="333" t="str">
        <f t="shared" si="7"/>
        <v>205901</v>
      </c>
      <c r="P88" s="333" t="str">
        <f t="shared" si="7"/>
        <v>205902</v>
      </c>
      <c r="Q88" s="333" t="str">
        <f t="shared" si="7"/>
        <v>205903</v>
      </c>
      <c r="R88" s="333" t="str">
        <f t="shared" si="6"/>
        <v>205904</v>
      </c>
      <c r="S88" s="333" t="str">
        <f t="shared" si="6"/>
        <v>205905</v>
      </c>
      <c r="T88" s="333" t="str">
        <f t="shared" si="6"/>
        <v>205906</v>
      </c>
      <c r="U88" s="333" t="str">
        <f t="shared" si="6"/>
        <v>205907</v>
      </c>
      <c r="V88" s="333" t="str">
        <f t="shared" si="6"/>
        <v>205908</v>
      </c>
      <c r="W88" s="333" t="str">
        <f t="shared" si="6"/>
        <v>205909</v>
      </c>
      <c r="X88" s="333" t="str">
        <f t="shared" si="6"/>
        <v>205910</v>
      </c>
      <c r="Y88" s="333" t="str">
        <f t="shared" si="6"/>
        <v>205911</v>
      </c>
      <c r="Z88" s="333" t="str">
        <f t="shared" si="6"/>
        <v>205912</v>
      </c>
    </row>
    <row r="89" spans="1:26">
      <c r="A89" s="331">
        <v>2060</v>
      </c>
      <c r="B89" s="334">
        <f t="shared" si="3"/>
        <v>70779.098585362401</v>
      </c>
      <c r="C89" s="334">
        <f t="shared" si="4"/>
        <v>71132.994078289208</v>
      </c>
      <c r="D89" s="334">
        <f t="shared" si="4"/>
        <v>71488.659048680653</v>
      </c>
      <c r="E89" s="334">
        <f t="shared" si="4"/>
        <v>71846.102343924053</v>
      </c>
      <c r="F89" s="334">
        <f t="shared" si="4"/>
        <v>72205.332855643661</v>
      </c>
      <c r="G89" s="334">
        <f t="shared" si="4"/>
        <v>72566.359519921869</v>
      </c>
      <c r="H89" s="334">
        <f t="shared" si="4"/>
        <v>72929.191317521472</v>
      </c>
      <c r="I89" s="334">
        <f t="shared" si="4"/>
        <v>73293.837274109072</v>
      </c>
      <c r="J89" s="334">
        <f t="shared" si="4"/>
        <v>73660.306460479609</v>
      </c>
      <c r="K89" s="334">
        <f t="shared" si="4"/>
        <v>74028.607992781996</v>
      </c>
      <c r="L89" s="334">
        <f t="shared" ref="L89:M99" si="8">IF(AND(Y89&gt;=$B$4,Y89&lt;=$C$4),(1+$B$7/12)*K89,(1+$E$7/12)*K89)</f>
        <v>74398.751032745902</v>
      </c>
      <c r="M89" s="334">
        <f t="shared" si="8"/>
        <v>74770.744787909629</v>
      </c>
      <c r="N89" s="312"/>
      <c r="O89" s="333" t="str">
        <f t="shared" si="7"/>
        <v>206001</v>
      </c>
      <c r="P89" s="333" t="str">
        <f t="shared" si="7"/>
        <v>206002</v>
      </c>
      <c r="Q89" s="333" t="str">
        <f t="shared" si="7"/>
        <v>206003</v>
      </c>
      <c r="R89" s="333" t="str">
        <f t="shared" si="6"/>
        <v>206004</v>
      </c>
      <c r="S89" s="333" t="str">
        <f t="shared" si="6"/>
        <v>206005</v>
      </c>
      <c r="T89" s="333" t="str">
        <f t="shared" si="6"/>
        <v>206006</v>
      </c>
      <c r="U89" s="333" t="str">
        <f t="shared" si="6"/>
        <v>206007</v>
      </c>
      <c r="V89" s="333" t="str">
        <f t="shared" si="6"/>
        <v>206008</v>
      </c>
      <c r="W89" s="333" t="str">
        <f t="shared" si="6"/>
        <v>206009</v>
      </c>
      <c r="X89" s="333" t="str">
        <f t="shared" si="6"/>
        <v>206010</v>
      </c>
      <c r="Y89" s="333" t="str">
        <f t="shared" si="6"/>
        <v>206011</v>
      </c>
      <c r="Z89" s="333" t="str">
        <f t="shared" si="6"/>
        <v>206012</v>
      </c>
    </row>
    <row r="90" spans="1:26">
      <c r="A90" s="331">
        <v>2061</v>
      </c>
      <c r="B90" s="334">
        <f t="shared" si="3"/>
        <v>75144.598511849166</v>
      </c>
      <c r="C90" s="334">
        <f t="shared" ref="C90:K99" si="9">IF(AND(P90&gt;=$B$4,P90&lt;=$C$4),(1+$B$7/12)*B90,(1+$E$7/12)*B90)</f>
        <v>75520.321504408406</v>
      </c>
      <c r="D90" s="334">
        <f t="shared" si="9"/>
        <v>75897.923111930446</v>
      </c>
      <c r="E90" s="334">
        <f t="shared" si="9"/>
        <v>76277.412727490097</v>
      </c>
      <c r="F90" s="334">
        <f t="shared" si="9"/>
        <v>76658.799791127545</v>
      </c>
      <c r="G90" s="334">
        <f t="shared" si="9"/>
        <v>77042.093790083178</v>
      </c>
      <c r="H90" s="334">
        <f t="shared" si="9"/>
        <v>77427.304259033583</v>
      </c>
      <c r="I90" s="334">
        <f t="shared" si="9"/>
        <v>77814.440780328747</v>
      </c>
      <c r="J90" s="334">
        <f t="shared" si="9"/>
        <v>78203.512984230387</v>
      </c>
      <c r="K90" s="334">
        <f t="shared" si="9"/>
        <v>78594.530549151532</v>
      </c>
      <c r="L90" s="334">
        <f t="shared" si="8"/>
        <v>78987.503201897285</v>
      </c>
      <c r="M90" s="334">
        <f t="shared" si="8"/>
        <v>79382.440717906764</v>
      </c>
      <c r="N90" s="312"/>
      <c r="O90" s="333" t="str">
        <f t="shared" si="7"/>
        <v>206101</v>
      </c>
      <c r="P90" s="333" t="str">
        <f t="shared" si="7"/>
        <v>206102</v>
      </c>
      <c r="Q90" s="333" t="str">
        <f t="shared" si="7"/>
        <v>206103</v>
      </c>
      <c r="R90" s="333" t="str">
        <f t="shared" si="6"/>
        <v>206104</v>
      </c>
      <c r="S90" s="333" t="str">
        <f t="shared" si="6"/>
        <v>206105</v>
      </c>
      <c r="T90" s="333" t="str">
        <f t="shared" si="6"/>
        <v>206106</v>
      </c>
      <c r="U90" s="333" t="str">
        <f t="shared" si="6"/>
        <v>206107</v>
      </c>
      <c r="V90" s="333" t="str">
        <f t="shared" si="6"/>
        <v>206108</v>
      </c>
      <c r="W90" s="333" t="str">
        <f t="shared" si="6"/>
        <v>206109</v>
      </c>
      <c r="X90" s="333" t="str">
        <f t="shared" si="6"/>
        <v>206110</v>
      </c>
      <c r="Y90" s="333" t="str">
        <f t="shared" si="6"/>
        <v>206111</v>
      </c>
      <c r="Z90" s="333" t="str">
        <f t="shared" si="6"/>
        <v>206112</v>
      </c>
    </row>
    <row r="91" spans="1:26">
      <c r="A91" s="331">
        <v>2062</v>
      </c>
      <c r="B91" s="334">
        <f t="shared" si="3"/>
        <v>79779.352921496291</v>
      </c>
      <c r="C91" s="334">
        <f t="shared" si="9"/>
        <v>80178.249686103765</v>
      </c>
      <c r="D91" s="334">
        <f t="shared" si="9"/>
        <v>80579.140934534269</v>
      </c>
      <c r="E91" s="334">
        <f t="shared" si="9"/>
        <v>80982.036639206926</v>
      </c>
      <c r="F91" s="334">
        <f t="shared" si="9"/>
        <v>81386.946822402955</v>
      </c>
      <c r="G91" s="334">
        <f t="shared" si="9"/>
        <v>81793.881556514956</v>
      </c>
      <c r="H91" s="334">
        <f t="shared" si="9"/>
        <v>82202.850964297526</v>
      </c>
      <c r="I91" s="334">
        <f t="shared" si="9"/>
        <v>82613.865219119005</v>
      </c>
      <c r="J91" s="334">
        <f t="shared" si="9"/>
        <v>83026.934545214594</v>
      </c>
      <c r="K91" s="334">
        <f t="shared" si="9"/>
        <v>83442.069217940661</v>
      </c>
      <c r="L91" s="334">
        <f t="shared" si="8"/>
        <v>83859.279564030352</v>
      </c>
      <c r="M91" s="334">
        <f t="shared" si="8"/>
        <v>84278.575961850496</v>
      </c>
      <c r="N91" s="312"/>
      <c r="O91" s="333" t="str">
        <f t="shared" si="7"/>
        <v>206201</v>
      </c>
      <c r="P91" s="333" t="str">
        <f t="shared" si="7"/>
        <v>206202</v>
      </c>
      <c r="Q91" s="333" t="str">
        <f t="shared" si="7"/>
        <v>206203</v>
      </c>
      <c r="R91" s="333" t="str">
        <f t="shared" si="6"/>
        <v>206204</v>
      </c>
      <c r="S91" s="333" t="str">
        <f t="shared" si="6"/>
        <v>206205</v>
      </c>
      <c r="T91" s="333" t="str">
        <f t="shared" si="6"/>
        <v>206206</v>
      </c>
      <c r="U91" s="333" t="str">
        <f t="shared" si="6"/>
        <v>206207</v>
      </c>
      <c r="V91" s="333" t="str">
        <f t="shared" si="6"/>
        <v>206208</v>
      </c>
      <c r="W91" s="333" t="str">
        <f t="shared" si="6"/>
        <v>206209</v>
      </c>
      <c r="X91" s="333" t="str">
        <f t="shared" si="6"/>
        <v>206210</v>
      </c>
      <c r="Y91" s="333" t="str">
        <f t="shared" si="6"/>
        <v>206211</v>
      </c>
      <c r="Z91" s="333" t="str">
        <f t="shared" si="6"/>
        <v>206212</v>
      </c>
    </row>
    <row r="92" spans="1:26">
      <c r="A92" s="331">
        <v>2063</v>
      </c>
      <c r="B92" s="334">
        <f t="shared" si="3"/>
        <v>84699.968841659735</v>
      </c>
      <c r="C92" s="334">
        <f t="shared" si="9"/>
        <v>85123.468685868022</v>
      </c>
      <c r="D92" s="334">
        <f t="shared" si="9"/>
        <v>85549.086029297352</v>
      </c>
      <c r="E92" s="334">
        <f t="shared" si="9"/>
        <v>85976.831459443827</v>
      </c>
      <c r="F92" s="334">
        <f t="shared" si="9"/>
        <v>86406.715616741043</v>
      </c>
      <c r="G92" s="334">
        <f t="shared" si="9"/>
        <v>86838.749194824733</v>
      </c>
      <c r="H92" s="334">
        <f t="shared" si="9"/>
        <v>87272.94294079885</v>
      </c>
      <c r="I92" s="334">
        <f t="shared" si="9"/>
        <v>87709.307655502838</v>
      </c>
      <c r="J92" s="334">
        <f t="shared" si="9"/>
        <v>88147.854193780338</v>
      </c>
      <c r="K92" s="334">
        <f t="shared" si="9"/>
        <v>88588.593464749225</v>
      </c>
      <c r="L92" s="334">
        <f t="shared" si="8"/>
        <v>89031.536432072957</v>
      </c>
      <c r="M92" s="334">
        <f t="shared" si="8"/>
        <v>89476.694114233309</v>
      </c>
      <c r="N92" s="312"/>
      <c r="O92" s="333" t="str">
        <f t="shared" si="7"/>
        <v>206301</v>
      </c>
      <c r="P92" s="333" t="str">
        <f t="shared" si="7"/>
        <v>206302</v>
      </c>
      <c r="Q92" s="333" t="str">
        <f t="shared" si="7"/>
        <v>206303</v>
      </c>
      <c r="R92" s="333" t="str">
        <f t="shared" si="6"/>
        <v>206304</v>
      </c>
      <c r="S92" s="333" t="str">
        <f t="shared" si="6"/>
        <v>206305</v>
      </c>
      <c r="T92" s="333" t="str">
        <f t="shared" si="6"/>
        <v>206306</v>
      </c>
      <c r="U92" s="333" t="str">
        <f t="shared" si="6"/>
        <v>206307</v>
      </c>
      <c r="V92" s="333" t="str">
        <f t="shared" si="6"/>
        <v>206308</v>
      </c>
      <c r="W92" s="333" t="str">
        <f t="shared" si="6"/>
        <v>206309</v>
      </c>
      <c r="X92" s="333" t="str">
        <f t="shared" si="6"/>
        <v>206310</v>
      </c>
      <c r="Y92" s="333" t="str">
        <f t="shared" si="6"/>
        <v>206311</v>
      </c>
      <c r="Z92" s="333" t="str">
        <f t="shared" si="6"/>
        <v>206312</v>
      </c>
    </row>
    <row r="93" spans="1:26">
      <c r="A93" s="331">
        <v>2064</v>
      </c>
      <c r="B93" s="334">
        <f t="shared" si="3"/>
        <v>89924.077584804472</v>
      </c>
      <c r="C93" s="334">
        <f t="shared" si="9"/>
        <v>90373.697972728478</v>
      </c>
      <c r="D93" s="334">
        <f t="shared" si="9"/>
        <v>90825.566462592105</v>
      </c>
      <c r="E93" s="334">
        <f t="shared" si="9"/>
        <v>91279.694294905057</v>
      </c>
      <c r="F93" s="334">
        <f t="shared" si="9"/>
        <v>91736.092766379574</v>
      </c>
      <c r="G93" s="334">
        <f t="shared" si="9"/>
        <v>92194.77323021146</v>
      </c>
      <c r="H93" s="334">
        <f t="shared" si="9"/>
        <v>92655.747096362509</v>
      </c>
      <c r="I93" s="334">
        <f t="shared" si="9"/>
        <v>93119.025831844308</v>
      </c>
      <c r="J93" s="334">
        <f t="shared" si="9"/>
        <v>93584.620961003515</v>
      </c>
      <c r="K93" s="334">
        <f t="shared" si="9"/>
        <v>94052.544065808528</v>
      </c>
      <c r="L93" s="334">
        <f t="shared" si="8"/>
        <v>94522.80678613756</v>
      </c>
      <c r="M93" s="334">
        <f t="shared" si="8"/>
        <v>94995.420820068233</v>
      </c>
      <c r="N93" s="312"/>
      <c r="O93" s="333" t="str">
        <f t="shared" si="7"/>
        <v>206401</v>
      </c>
      <c r="P93" s="333" t="str">
        <f t="shared" si="7"/>
        <v>206402</v>
      </c>
      <c r="Q93" s="333" t="str">
        <f t="shared" si="7"/>
        <v>206403</v>
      </c>
      <c r="R93" s="333" t="str">
        <f t="shared" si="6"/>
        <v>206404</v>
      </c>
      <c r="S93" s="333" t="str">
        <f t="shared" si="6"/>
        <v>206405</v>
      </c>
      <c r="T93" s="333" t="str">
        <f t="shared" si="6"/>
        <v>206406</v>
      </c>
      <c r="U93" s="333" t="str">
        <f t="shared" si="6"/>
        <v>206407</v>
      </c>
      <c r="V93" s="333" t="str">
        <f t="shared" si="6"/>
        <v>206408</v>
      </c>
      <c r="W93" s="333" t="str">
        <f t="shared" si="6"/>
        <v>206409</v>
      </c>
      <c r="X93" s="333" t="str">
        <f t="shared" si="6"/>
        <v>206410</v>
      </c>
      <c r="Y93" s="333" t="str">
        <f t="shared" si="6"/>
        <v>206411</v>
      </c>
      <c r="Z93" s="333" t="str">
        <f t="shared" si="6"/>
        <v>206412</v>
      </c>
    </row>
    <row r="94" spans="1:26">
      <c r="A94" s="331">
        <v>2065</v>
      </c>
      <c r="B94" s="334">
        <f t="shared" si="3"/>
        <v>95470.397924168559</v>
      </c>
      <c r="C94" s="334">
        <f t="shared" si="9"/>
        <v>95947.74991378939</v>
      </c>
      <c r="D94" s="334">
        <f t="shared" si="9"/>
        <v>96427.488663358323</v>
      </c>
      <c r="E94" s="334">
        <f t="shared" si="9"/>
        <v>96909.626106675103</v>
      </c>
      <c r="F94" s="334">
        <f t="shared" si="9"/>
        <v>97394.17423720847</v>
      </c>
      <c r="G94" s="334">
        <f t="shared" si="9"/>
        <v>97881.145108394499</v>
      </c>
      <c r="H94" s="334">
        <f t="shared" si="9"/>
        <v>98370.550833936461</v>
      </c>
      <c r="I94" s="334">
        <f t="shared" si="9"/>
        <v>98862.403588106128</v>
      </c>
      <c r="J94" s="334">
        <f t="shared" si="9"/>
        <v>99356.715606046651</v>
      </c>
      <c r="K94" s="334">
        <f t="shared" si="9"/>
        <v>99853.499184076878</v>
      </c>
      <c r="L94" s="334">
        <f t="shared" si="8"/>
        <v>100352.76667999725</v>
      </c>
      <c r="M94" s="334">
        <f t="shared" si="8"/>
        <v>100854.53051339723</v>
      </c>
      <c r="N94" s="312"/>
      <c r="O94" s="333" t="str">
        <f t="shared" si="7"/>
        <v>206501</v>
      </c>
      <c r="P94" s="333" t="str">
        <f t="shared" si="7"/>
        <v>206502</v>
      </c>
      <c r="Q94" s="333" t="str">
        <f t="shared" si="7"/>
        <v>206503</v>
      </c>
      <c r="R94" s="333" t="str">
        <f t="shared" si="6"/>
        <v>206504</v>
      </c>
      <c r="S94" s="333" t="str">
        <f t="shared" si="6"/>
        <v>206505</v>
      </c>
      <c r="T94" s="333" t="str">
        <f t="shared" si="6"/>
        <v>206506</v>
      </c>
      <c r="U94" s="333" t="str">
        <f t="shared" si="6"/>
        <v>206507</v>
      </c>
      <c r="V94" s="333" t="str">
        <f t="shared" si="6"/>
        <v>206508</v>
      </c>
      <c r="W94" s="333" t="str">
        <f t="shared" si="6"/>
        <v>206509</v>
      </c>
      <c r="X94" s="333" t="str">
        <f t="shared" si="6"/>
        <v>206510</v>
      </c>
      <c r="Y94" s="333" t="str">
        <f t="shared" si="6"/>
        <v>206511</v>
      </c>
      <c r="Z94" s="333" t="str">
        <f t="shared" si="6"/>
        <v>206512</v>
      </c>
    </row>
    <row r="95" spans="1:26">
      <c r="A95" s="331">
        <v>2066</v>
      </c>
      <c r="B95" s="334">
        <f t="shared" si="3"/>
        <v>101358.8031659642</v>
      </c>
      <c r="C95" s="334">
        <f t="shared" si="9"/>
        <v>101865.59718179402</v>
      </c>
      <c r="D95" s="334">
        <f t="shared" si="9"/>
        <v>102374.92516770297</v>
      </c>
      <c r="E95" s="334">
        <f t="shared" si="9"/>
        <v>102886.79979354148</v>
      </c>
      <c r="F95" s="334">
        <f t="shared" si="9"/>
        <v>103401.23379250917</v>
      </c>
      <c r="G95" s="334">
        <f t="shared" si="9"/>
        <v>103918.2399614717</v>
      </c>
      <c r="H95" s="334">
        <f t="shared" si="9"/>
        <v>104437.83116127904</v>
      </c>
      <c r="I95" s="334">
        <f t="shared" si="9"/>
        <v>104960.02031708542</v>
      </c>
      <c r="J95" s="334">
        <f t="shared" si="9"/>
        <v>105484.82041867083</v>
      </c>
      <c r="K95" s="334">
        <f t="shared" si="9"/>
        <v>106012.24452076417</v>
      </c>
      <c r="L95" s="334">
        <f t="shared" si="8"/>
        <v>106542.30574336798</v>
      </c>
      <c r="M95" s="334">
        <f t="shared" si="8"/>
        <v>107075.01727208481</v>
      </c>
      <c r="N95" s="312"/>
      <c r="O95" s="333" t="str">
        <f t="shared" si="7"/>
        <v>206601</v>
      </c>
      <c r="P95" s="333" t="str">
        <f t="shared" si="7"/>
        <v>206602</v>
      </c>
      <c r="Q95" s="333" t="str">
        <f t="shared" si="7"/>
        <v>206603</v>
      </c>
      <c r="R95" s="333" t="str">
        <f t="shared" si="6"/>
        <v>206604</v>
      </c>
      <c r="S95" s="333" t="str">
        <f t="shared" si="6"/>
        <v>206605</v>
      </c>
      <c r="T95" s="333" t="str">
        <f t="shared" si="6"/>
        <v>206606</v>
      </c>
      <c r="U95" s="333" t="str">
        <f t="shared" si="6"/>
        <v>206607</v>
      </c>
      <c r="V95" s="333" t="str">
        <f t="shared" si="6"/>
        <v>206608</v>
      </c>
      <c r="W95" s="333" t="str">
        <f t="shared" si="6"/>
        <v>206609</v>
      </c>
      <c r="X95" s="333" t="str">
        <f t="shared" si="6"/>
        <v>206610</v>
      </c>
      <c r="Y95" s="333" t="str">
        <f t="shared" si="6"/>
        <v>206611</v>
      </c>
      <c r="Z95" s="333" t="str">
        <f t="shared" si="6"/>
        <v>206612</v>
      </c>
    </row>
    <row r="96" spans="1:26">
      <c r="A96" s="331">
        <v>2067</v>
      </c>
      <c r="B96" s="334">
        <f t="shared" si="3"/>
        <v>107610.39235844521</v>
      </c>
      <c r="C96" s="334">
        <f t="shared" si="9"/>
        <v>108148.44432023742</v>
      </c>
      <c r="D96" s="334">
        <f t="shared" si="9"/>
        <v>108689.1865418386</v>
      </c>
      <c r="E96" s="334">
        <f t="shared" si="9"/>
        <v>109232.63247454778</v>
      </c>
      <c r="F96" s="334">
        <f t="shared" si="9"/>
        <v>109778.79563692051</v>
      </c>
      <c r="G96" s="334">
        <f t="shared" si="9"/>
        <v>110327.68961510509</v>
      </c>
      <c r="H96" s="334">
        <f t="shared" si="9"/>
        <v>110879.3280631806</v>
      </c>
      <c r="I96" s="334">
        <f t="shared" si="9"/>
        <v>111433.72470349648</v>
      </c>
      <c r="J96" s="334">
        <f t="shared" si="9"/>
        <v>111990.89332701395</v>
      </c>
      <c r="K96" s="334">
        <f t="shared" si="9"/>
        <v>112550.84779364901</v>
      </c>
      <c r="L96" s="334">
        <f t="shared" si="8"/>
        <v>113113.60203261724</v>
      </c>
      <c r="M96" s="334">
        <f t="shared" si="8"/>
        <v>113679.17004278032</v>
      </c>
      <c r="N96" s="312"/>
      <c r="O96" s="333" t="str">
        <f t="shared" si="7"/>
        <v>206701</v>
      </c>
      <c r="P96" s="333" t="str">
        <f t="shared" si="7"/>
        <v>206702</v>
      </c>
      <c r="Q96" s="333" t="str">
        <f t="shared" si="7"/>
        <v>206703</v>
      </c>
      <c r="R96" s="333" t="str">
        <f t="shared" si="6"/>
        <v>206704</v>
      </c>
      <c r="S96" s="333" t="str">
        <f t="shared" si="6"/>
        <v>206705</v>
      </c>
      <c r="T96" s="333" t="str">
        <f t="shared" si="6"/>
        <v>206706</v>
      </c>
      <c r="U96" s="333" t="str">
        <f t="shared" si="6"/>
        <v>206707</v>
      </c>
      <c r="V96" s="333" t="str">
        <f t="shared" si="6"/>
        <v>206708</v>
      </c>
      <c r="W96" s="333" t="str">
        <f t="shared" si="6"/>
        <v>206709</v>
      </c>
      <c r="X96" s="333" t="str">
        <f t="shared" si="6"/>
        <v>206710</v>
      </c>
      <c r="Y96" s="333" t="str">
        <f t="shared" si="6"/>
        <v>206711</v>
      </c>
      <c r="Z96" s="333" t="str">
        <f t="shared" si="6"/>
        <v>206712</v>
      </c>
    </row>
    <row r="97" spans="1:26">
      <c r="A97" s="331">
        <v>2068</v>
      </c>
      <c r="B97" s="334">
        <f t="shared" si="3"/>
        <v>114247.5658929942</v>
      </c>
      <c r="C97" s="334">
        <f t="shared" si="9"/>
        <v>114818.80372245915</v>
      </c>
      <c r="D97" s="334">
        <f t="shared" si="9"/>
        <v>115392.89774107144</v>
      </c>
      <c r="E97" s="334">
        <f t="shared" si="9"/>
        <v>115969.86222977679</v>
      </c>
      <c r="F97" s="334">
        <f t="shared" si="9"/>
        <v>116549.71154092567</v>
      </c>
      <c r="G97" s="334">
        <f t="shared" si="9"/>
        <v>117132.46009863028</v>
      </c>
      <c r="H97" s="334">
        <f t="shared" si="9"/>
        <v>117718.12239912343</v>
      </c>
      <c r="I97" s="334">
        <f t="shared" si="9"/>
        <v>118306.71301111903</v>
      </c>
      <c r="J97" s="334">
        <f t="shared" si="9"/>
        <v>118898.24657617461</v>
      </c>
      <c r="K97" s="334">
        <f t="shared" si="9"/>
        <v>119492.73780905547</v>
      </c>
      <c r="L97" s="334">
        <f t="shared" si="8"/>
        <v>120090.20149810074</v>
      </c>
      <c r="M97" s="334">
        <f t="shared" si="8"/>
        <v>120690.65250559124</v>
      </c>
      <c r="N97" s="312"/>
      <c r="O97" s="333" t="str">
        <f t="shared" si="7"/>
        <v>206801</v>
      </c>
      <c r="P97" s="333" t="str">
        <f t="shared" si="7"/>
        <v>206802</v>
      </c>
      <c r="Q97" s="333" t="str">
        <f t="shared" si="7"/>
        <v>206803</v>
      </c>
      <c r="R97" s="333" t="str">
        <f t="shared" si="6"/>
        <v>206804</v>
      </c>
      <c r="S97" s="333" t="str">
        <f t="shared" si="6"/>
        <v>206805</v>
      </c>
      <c r="T97" s="333" t="str">
        <f t="shared" si="6"/>
        <v>206806</v>
      </c>
      <c r="U97" s="333" t="str">
        <f t="shared" si="6"/>
        <v>206807</v>
      </c>
      <c r="V97" s="333" t="str">
        <f t="shared" si="6"/>
        <v>206808</v>
      </c>
      <c r="W97" s="333" t="str">
        <f t="shared" si="6"/>
        <v>206809</v>
      </c>
      <c r="X97" s="333" t="str">
        <f t="shared" si="6"/>
        <v>206810</v>
      </c>
      <c r="Y97" s="333" t="str">
        <f t="shared" si="6"/>
        <v>206811</v>
      </c>
      <c r="Z97" s="333" t="str">
        <f t="shared" si="6"/>
        <v>206812</v>
      </c>
    </row>
    <row r="98" spans="1:26">
      <c r="A98" s="331">
        <v>2069</v>
      </c>
      <c r="B98" s="334">
        <f t="shared" si="3"/>
        <v>121294.10576811917</v>
      </c>
      <c r="C98" s="334">
        <f t="shared" si="9"/>
        <v>121900.57629695976</v>
      </c>
      <c r="D98" s="334">
        <f t="shared" si="9"/>
        <v>122510.07917844455</v>
      </c>
      <c r="E98" s="334">
        <f t="shared" si="9"/>
        <v>123122.62957433675</v>
      </c>
      <c r="F98" s="334">
        <f t="shared" si="9"/>
        <v>123738.24272220842</v>
      </c>
      <c r="G98" s="334">
        <f t="shared" si="9"/>
        <v>124356.93393581946</v>
      </c>
      <c r="H98" s="334">
        <f t="shared" si="9"/>
        <v>124978.71860549854</v>
      </c>
      <c r="I98" s="334">
        <f t="shared" si="9"/>
        <v>125603.61219852601</v>
      </c>
      <c r="J98" s="334">
        <f t="shared" si="9"/>
        <v>126231.63025951863</v>
      </c>
      <c r="K98" s="334">
        <f t="shared" si="9"/>
        <v>126862.78841081621</v>
      </c>
      <c r="L98" s="334">
        <f t="shared" si="8"/>
        <v>127497.10235287028</v>
      </c>
      <c r="M98" s="334">
        <f t="shared" si="8"/>
        <v>128134.58786463461</v>
      </c>
      <c r="N98" s="312"/>
      <c r="O98" s="333" t="str">
        <f t="shared" si="7"/>
        <v>206901</v>
      </c>
      <c r="P98" s="333" t="str">
        <f t="shared" si="7"/>
        <v>206902</v>
      </c>
      <c r="Q98" s="333" t="str">
        <f t="shared" si="7"/>
        <v>206903</v>
      </c>
      <c r="R98" s="333" t="str">
        <f t="shared" si="6"/>
        <v>206904</v>
      </c>
      <c r="S98" s="333" t="str">
        <f t="shared" si="6"/>
        <v>206905</v>
      </c>
      <c r="T98" s="333" t="str">
        <f t="shared" si="6"/>
        <v>206906</v>
      </c>
      <c r="U98" s="333" t="str">
        <f t="shared" si="6"/>
        <v>206907</v>
      </c>
      <c r="V98" s="333" t="str">
        <f t="shared" si="6"/>
        <v>206908</v>
      </c>
      <c r="W98" s="333" t="str">
        <f t="shared" si="6"/>
        <v>206909</v>
      </c>
      <c r="X98" s="333" t="str">
        <f t="shared" si="6"/>
        <v>206910</v>
      </c>
      <c r="Y98" s="333" t="str">
        <f t="shared" si="6"/>
        <v>206911</v>
      </c>
      <c r="Z98" s="333" t="str">
        <f t="shared" si="6"/>
        <v>206912</v>
      </c>
    </row>
    <row r="99" spans="1:26">
      <c r="A99" s="335">
        <v>2070</v>
      </c>
      <c r="B99" s="336">
        <f t="shared" si="3"/>
        <v>128775.26080395778</v>
      </c>
      <c r="C99" s="336">
        <f t="shared" si="9"/>
        <v>129419.13710797756</v>
      </c>
      <c r="D99" s="336">
        <f t="shared" si="9"/>
        <v>130066.23279351743</v>
      </c>
      <c r="E99" s="336">
        <f t="shared" si="9"/>
        <v>130716.56395748499</v>
      </c>
      <c r="F99" s="336">
        <f t="shared" si="9"/>
        <v>131370.1467772724</v>
      </c>
      <c r="G99" s="336">
        <f t="shared" si="9"/>
        <v>132026.99751115876</v>
      </c>
      <c r="H99" s="336">
        <f t="shared" si="9"/>
        <v>132687.13249871455</v>
      </c>
      <c r="I99" s="336">
        <f t="shared" si="9"/>
        <v>133350.5681612081</v>
      </c>
      <c r="J99" s="336">
        <f t="shared" si="9"/>
        <v>134017.32100201413</v>
      </c>
      <c r="K99" s="336">
        <f t="shared" si="9"/>
        <v>134687.40760702419</v>
      </c>
      <c r="L99" s="336">
        <f t="shared" si="8"/>
        <v>135360.84464505929</v>
      </c>
      <c r="M99" s="336">
        <f t="shared" si="8"/>
        <v>136037.64886828457</v>
      </c>
      <c r="N99" s="312"/>
      <c r="O99" s="337" t="str">
        <f t="shared" si="7"/>
        <v>207001</v>
      </c>
      <c r="P99" s="337" t="str">
        <f t="shared" si="7"/>
        <v>207002</v>
      </c>
      <c r="Q99" s="337" t="str">
        <f t="shared" si="7"/>
        <v>207003</v>
      </c>
      <c r="R99" s="337" t="str">
        <f t="shared" si="6"/>
        <v>207004</v>
      </c>
      <c r="S99" s="337" t="str">
        <f t="shared" si="6"/>
        <v>207005</v>
      </c>
      <c r="T99" s="337" t="str">
        <f t="shared" si="6"/>
        <v>207006</v>
      </c>
      <c r="U99" s="337" t="str">
        <f t="shared" si="6"/>
        <v>207007</v>
      </c>
      <c r="V99" s="337" t="str">
        <f t="shared" si="6"/>
        <v>207008</v>
      </c>
      <c r="W99" s="337" t="str">
        <f t="shared" si="6"/>
        <v>207009</v>
      </c>
      <c r="X99" s="337" t="str">
        <f t="shared" si="6"/>
        <v>207010</v>
      </c>
      <c r="Y99" s="337" t="str">
        <f t="shared" si="6"/>
        <v>207011</v>
      </c>
      <c r="Z99" s="337" t="str">
        <f t="shared" si="6"/>
        <v>207012</v>
      </c>
    </row>
    <row r="100" spans="1:26">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row>
    <row r="101" spans="1:26">
      <c r="A101" s="409" t="s">
        <v>363</v>
      </c>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row>
    <row r="102" spans="1:26">
      <c r="A102" s="312"/>
      <c r="B102" s="314" t="s">
        <v>364</v>
      </c>
      <c r="C102" s="312" t="s">
        <v>365</v>
      </c>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row>
    <row r="103" spans="1:26">
      <c r="A103" s="312"/>
      <c r="B103" s="411" t="s">
        <v>364</v>
      </c>
      <c r="C103" s="410" t="s">
        <v>366</v>
      </c>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row>
  </sheetData>
  <sheetProtection algorithmName="SHA-512" hashValue="4ytKre8DjO8rz5IT7c+EBhwOrDZDHdyApsTkaY4PK0zff2Rct/Ykl+ZL847bhQqD4tXRCqOFJuFolHvaGtikKg==" saltValue="TnG+HMCIGh7PM/7WFoksog==" spinCount="100000" sheet="1" selectLockedCells="1"/>
  <mergeCells count="6">
    <mergeCell ref="AG9:AK9"/>
    <mergeCell ref="B9:F9"/>
    <mergeCell ref="H9:L9"/>
    <mergeCell ref="O9:S9"/>
    <mergeCell ref="U9:Y9"/>
    <mergeCell ref="AA9:AE9"/>
  </mergeCells>
  <printOptions horizontalCentered="1"/>
  <pageMargins left="0.25" right="0.25" top="0.5" bottom="0.5" header="0.25" footer="0.25"/>
  <pageSetup paperSize="3" orientation="portrait" horizontalDpi="0" verticalDpi="0"/>
  <ignoredErrors>
    <ignoredError sqref="J14 C14:D14 Q14"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C89A4-70B6-6047-830C-9C677DD9FBEF}">
  <sheetPr codeName="Sheet7">
    <tabColor rgb="FF7C6992"/>
  </sheetPr>
  <dimension ref="A1:D7"/>
  <sheetViews>
    <sheetView showGridLines="0" zoomScaleNormal="100" workbookViewId="0">
      <selection activeCell="B1" sqref="B1"/>
    </sheetView>
  </sheetViews>
  <sheetFormatPr baseColWidth="10" defaultColWidth="10.59765625" defaultRowHeight="15"/>
  <cols>
    <col min="1" max="1" width="2.796875" style="230" customWidth="1"/>
    <col min="2" max="3" width="26" style="230" customWidth="1"/>
    <col min="4" max="4" width="51" style="230" customWidth="1"/>
    <col min="5" max="16384" width="10.59765625" style="230"/>
  </cols>
  <sheetData>
    <row r="1" spans="1:4" ht="19">
      <c r="A1" s="266" t="s">
        <v>261</v>
      </c>
    </row>
    <row r="3" spans="1:4">
      <c r="B3" s="286" t="s">
        <v>262</v>
      </c>
      <c r="C3" s="287">
        <f>(PBW_NoInflation!$H$174)</f>
        <v>0</v>
      </c>
      <c r="D3" s="265" t="s">
        <v>263</v>
      </c>
    </row>
    <row r="4" spans="1:4">
      <c r="B4" s="288" t="s">
        <v>80</v>
      </c>
      <c r="C4" s="289">
        <f>(PBW!$H$10)</f>
        <v>47300</v>
      </c>
      <c r="D4" s="265" t="s">
        <v>264</v>
      </c>
    </row>
    <row r="5" spans="1:4">
      <c r="B5" s="288" t="s">
        <v>214</v>
      </c>
      <c r="C5" s="290">
        <f>VLOOKUP($C$4,'DFD Inflation Summary'!$B:$C,2,FALSE)</f>
        <v>0.95002637385326671</v>
      </c>
    </row>
    <row r="6" spans="1:4">
      <c r="B6" s="288" t="s">
        <v>215</v>
      </c>
      <c r="C6" s="291">
        <f>C3*C5</f>
        <v>0</v>
      </c>
    </row>
    <row r="7" spans="1:4">
      <c r="B7" s="292" t="s">
        <v>216</v>
      </c>
      <c r="C7" s="293">
        <f>C3+C6</f>
        <v>0</v>
      </c>
    </row>
  </sheetData>
  <sheetProtection algorithmName="SHA-512" hashValue="J59jBrZyjMI3p27s1P5I8g4yzuz/7SBAUKQYJQXAe8HciwcFUarVddlWoaKYNDEF3bhHNmNMFQfoSA5xR7gyWw==" saltValue="zg3VL0tC8OHHl2sC9DbTIQ==" spinCount="100000" sheet="1" scenarios="1" selectLockedCells="1" selectUnlockedCells="1"/>
  <printOptions horizontalCentered="1"/>
  <pageMargins left="0.25" right="0.25" top="0.75" bottom="0.75" header="0.3" footer="0.3"/>
  <pageSetup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5EAAE-88A2-C84D-B45D-69676DCB2014}">
  <sheetPr codeName="Sheet8">
    <tabColor rgb="FF7C6992"/>
  </sheetPr>
  <dimension ref="A1:G221"/>
  <sheetViews>
    <sheetView topLeftCell="A4" zoomScaleNormal="100" workbookViewId="0">
      <selection activeCell="A4" sqref="A4"/>
    </sheetView>
  </sheetViews>
  <sheetFormatPr baseColWidth="10" defaultColWidth="10.59765625" defaultRowHeight="15"/>
  <cols>
    <col min="1" max="1" width="3.19921875" style="230" customWidth="1"/>
    <col min="2" max="2" width="10.59765625" style="230"/>
    <col min="3" max="3" width="33.19921875" style="230" customWidth="1"/>
    <col min="4" max="4" width="20.19921875" style="230" customWidth="1"/>
    <col min="5" max="5" width="10.59765625" style="230"/>
    <col min="6" max="6" width="21.796875" style="230" customWidth="1"/>
    <col min="7" max="7" width="10.59765625" style="230" customWidth="1"/>
    <col min="8" max="16384" width="10.59765625" style="230"/>
  </cols>
  <sheetData>
    <row r="1" spans="1:7" hidden="1">
      <c r="C1" s="248">
        <v>44713</v>
      </c>
    </row>
    <row r="2" spans="1:7" hidden="1"/>
    <row r="3" spans="1:7" hidden="1"/>
    <row r="4" spans="1:7" ht="18">
      <c r="A4" s="249" t="s">
        <v>260</v>
      </c>
    </row>
    <row r="6" spans="1:7">
      <c r="B6" s="253">
        <v>44927</v>
      </c>
      <c r="C6" s="254">
        <v>0.08</v>
      </c>
      <c r="D6" s="255"/>
      <c r="F6" s="250">
        <v>0.08</v>
      </c>
      <c r="G6" s="250">
        <v>0.04</v>
      </c>
    </row>
    <row r="7" spans="1:7">
      <c r="B7" s="256">
        <v>44958</v>
      </c>
      <c r="C7" s="261">
        <f>C6+D7</f>
        <v>9.4399999999999998E-2</v>
      </c>
      <c r="D7" s="262">
        <f>(1+C6)*F8</f>
        <v>1.4400000000000001E-2</v>
      </c>
      <c r="F7" s="230">
        <v>6</v>
      </c>
      <c r="G7" s="230">
        <v>6</v>
      </c>
    </row>
    <row r="8" spans="1:7">
      <c r="B8" s="256">
        <v>44986</v>
      </c>
      <c r="C8" s="257">
        <f>C7+D8</f>
        <v>0.10899200000000001</v>
      </c>
      <c r="D8" s="262">
        <f>(1+C7)*$F$8</f>
        <v>1.4592000000000001E-2</v>
      </c>
      <c r="F8" s="251">
        <f>F6/F7</f>
        <v>1.3333333333333334E-2</v>
      </c>
      <c r="G8" s="251">
        <f>G6/G7</f>
        <v>6.6666666666666671E-3</v>
      </c>
    </row>
    <row r="9" spans="1:7">
      <c r="B9" s="256">
        <v>45017</v>
      </c>
      <c r="C9" s="257">
        <f>C8+D9</f>
        <v>0.12377856000000001</v>
      </c>
      <c r="D9" s="262">
        <f t="shared" ref="D9:D10" si="0">(1+C8)*$F$8</f>
        <v>1.4786560000000001E-2</v>
      </c>
    </row>
    <row r="10" spans="1:7">
      <c r="B10" s="256">
        <v>45047</v>
      </c>
      <c r="C10" s="257">
        <f t="shared" ref="C10:C47" si="1">C9+D10</f>
        <v>0.13876227413333334</v>
      </c>
      <c r="D10" s="262">
        <f t="shared" si="0"/>
        <v>1.4983714133333336E-2</v>
      </c>
    </row>
    <row r="11" spans="1:7">
      <c r="B11" s="258">
        <v>45078</v>
      </c>
      <c r="C11" s="259">
        <f t="shared" si="1"/>
        <v>0.15394577112177779</v>
      </c>
      <c r="D11" s="263">
        <f>(1+C10)*$F$8</f>
        <v>1.5183496988444447E-2</v>
      </c>
    </row>
    <row r="12" spans="1:7">
      <c r="B12" s="253">
        <v>45108</v>
      </c>
      <c r="C12" s="260">
        <f t="shared" si="1"/>
        <v>0.16933171473673483</v>
      </c>
      <c r="D12" s="264">
        <f t="shared" ref="D12:D17" si="2">(1+C11)*$F$8</f>
        <v>1.5385943614957038E-2</v>
      </c>
    </row>
    <row r="13" spans="1:7">
      <c r="B13" s="256">
        <v>45139</v>
      </c>
      <c r="C13" s="257">
        <f t="shared" si="1"/>
        <v>0.18492280426655797</v>
      </c>
      <c r="D13" s="262">
        <f t="shared" si="2"/>
        <v>1.5591089529823132E-2</v>
      </c>
    </row>
    <row r="14" spans="1:7">
      <c r="B14" s="256">
        <v>45170</v>
      </c>
      <c r="C14" s="257">
        <f t="shared" si="1"/>
        <v>0.20072177499011207</v>
      </c>
      <c r="D14" s="262">
        <f t="shared" si="2"/>
        <v>1.5798970723554108E-2</v>
      </c>
    </row>
    <row r="15" spans="1:7">
      <c r="B15" s="256">
        <v>45200</v>
      </c>
      <c r="C15" s="257">
        <f t="shared" si="1"/>
        <v>0.2167313986566469</v>
      </c>
      <c r="D15" s="262">
        <f t="shared" si="2"/>
        <v>1.6009623666534828E-2</v>
      </c>
    </row>
    <row r="16" spans="1:7">
      <c r="B16" s="256">
        <v>45231</v>
      </c>
      <c r="C16" s="257">
        <f t="shared" si="1"/>
        <v>0.23295448397206886</v>
      </c>
      <c r="D16" s="262">
        <f t="shared" si="2"/>
        <v>1.6223085315421958E-2</v>
      </c>
    </row>
    <row r="17" spans="2:6">
      <c r="B17" s="258">
        <v>45261</v>
      </c>
      <c r="C17" s="259">
        <f t="shared" si="1"/>
        <v>0.24939387709169644</v>
      </c>
      <c r="D17" s="263">
        <f t="shared" si="2"/>
        <v>1.6439393119627586E-2</v>
      </c>
    </row>
    <row r="18" spans="2:6">
      <c r="B18" s="253">
        <v>45292</v>
      </c>
      <c r="C18" s="260">
        <f t="shared" si="1"/>
        <v>0.25772316960564107</v>
      </c>
      <c r="D18" s="264">
        <f>(1+C17)*$G$8</f>
        <v>8.3292925139446423E-3</v>
      </c>
      <c r="F18" s="394"/>
    </row>
    <row r="19" spans="2:6">
      <c r="B19" s="256">
        <v>45323</v>
      </c>
      <c r="C19" s="257">
        <f t="shared" si="1"/>
        <v>0.26610799073634533</v>
      </c>
      <c r="D19" s="262">
        <f t="shared" ref="D19:D47" si="3">(1+C18)*$G$8</f>
        <v>8.3848211307042744E-3</v>
      </c>
      <c r="F19" s="252"/>
    </row>
    <row r="20" spans="2:6">
      <c r="B20" s="256">
        <v>45352</v>
      </c>
      <c r="C20" s="257">
        <f t="shared" si="1"/>
        <v>0.27454871067458764</v>
      </c>
      <c r="D20" s="262">
        <f t="shared" si="3"/>
        <v>8.4407199382423026E-3</v>
      </c>
      <c r="F20" s="252"/>
    </row>
    <row r="21" spans="2:6">
      <c r="B21" s="256">
        <v>45383</v>
      </c>
      <c r="C21" s="257">
        <f t="shared" si="1"/>
        <v>0.28304570207908492</v>
      </c>
      <c r="D21" s="262">
        <f t="shared" si="3"/>
        <v>8.4969914044972523E-3</v>
      </c>
    </row>
    <row r="22" spans="2:6">
      <c r="B22" s="256">
        <v>45413</v>
      </c>
      <c r="C22" s="257">
        <f t="shared" si="1"/>
        <v>0.29159934009294547</v>
      </c>
      <c r="D22" s="262">
        <f t="shared" si="3"/>
        <v>8.553638013860566E-3</v>
      </c>
    </row>
    <row r="23" spans="2:6">
      <c r="B23" s="258">
        <v>45444</v>
      </c>
      <c r="C23" s="259">
        <f t="shared" si="1"/>
        <v>0.30021000236023176</v>
      </c>
      <c r="D23" s="263">
        <f t="shared" si="3"/>
        <v>8.610662267286304E-3</v>
      </c>
    </row>
    <row r="24" spans="2:6">
      <c r="B24" s="253">
        <v>45474</v>
      </c>
      <c r="C24" s="260">
        <f t="shared" si="1"/>
        <v>0.30887806904263332</v>
      </c>
      <c r="D24" s="264">
        <f t="shared" si="3"/>
        <v>8.668066682401547E-3</v>
      </c>
    </row>
    <row r="25" spans="2:6">
      <c r="B25" s="256">
        <v>45505</v>
      </c>
      <c r="C25" s="257">
        <f t="shared" si="1"/>
        <v>0.31760392283625088</v>
      </c>
      <c r="D25" s="262">
        <f t="shared" si="3"/>
        <v>8.7258537936175558E-3</v>
      </c>
    </row>
    <row r="26" spans="2:6">
      <c r="B26" s="256">
        <v>45536</v>
      </c>
      <c r="C26" s="257">
        <f t="shared" si="1"/>
        <v>0.32638794898849255</v>
      </c>
      <c r="D26" s="262">
        <f t="shared" si="3"/>
        <v>8.7840261522416727E-3</v>
      </c>
    </row>
    <row r="27" spans="2:6">
      <c r="B27" s="256">
        <v>45566</v>
      </c>
      <c r="C27" s="257">
        <f t="shared" si="1"/>
        <v>0.33523053531508251</v>
      </c>
      <c r="D27" s="262">
        <f t="shared" si="3"/>
        <v>8.8425863265899525E-3</v>
      </c>
    </row>
    <row r="28" spans="2:6">
      <c r="B28" s="256">
        <v>45597</v>
      </c>
      <c r="C28" s="257">
        <f t="shared" si="1"/>
        <v>0.34413207221718306</v>
      </c>
      <c r="D28" s="262">
        <f t="shared" si="3"/>
        <v>8.9015369021005521E-3</v>
      </c>
    </row>
    <row r="29" spans="2:6">
      <c r="B29" s="258">
        <v>45627</v>
      </c>
      <c r="C29" s="259">
        <f t="shared" si="1"/>
        <v>0.35309295269863095</v>
      </c>
      <c r="D29" s="263">
        <f t="shared" si="3"/>
        <v>8.9608804814478877E-3</v>
      </c>
      <c r="E29" s="257"/>
      <c r="F29" s="393"/>
    </row>
    <row r="30" spans="2:6">
      <c r="B30" s="253">
        <v>45658</v>
      </c>
      <c r="C30" s="260">
        <f t="shared" si="1"/>
        <v>0.36211357238328851</v>
      </c>
      <c r="D30" s="264">
        <f t="shared" si="3"/>
        <v>9.0206196846575395E-3</v>
      </c>
    </row>
    <row r="31" spans="2:6">
      <c r="B31" s="256">
        <v>45689</v>
      </c>
      <c r="C31" s="257">
        <f t="shared" si="1"/>
        <v>0.37119432953251041</v>
      </c>
      <c r="D31" s="262">
        <f t="shared" si="3"/>
        <v>9.0807571492219231E-3</v>
      </c>
    </row>
    <row r="32" spans="2:6">
      <c r="B32" s="256">
        <v>45717</v>
      </c>
      <c r="C32" s="257">
        <f t="shared" si="1"/>
        <v>0.38033562506272717</v>
      </c>
      <c r="D32" s="262">
        <f t="shared" si="3"/>
        <v>9.1412955302167375E-3</v>
      </c>
    </row>
    <row r="33" spans="2:6">
      <c r="B33" s="256">
        <v>45748</v>
      </c>
      <c r="C33" s="257">
        <f t="shared" si="1"/>
        <v>0.38953786256314538</v>
      </c>
      <c r="D33" s="262">
        <f t="shared" si="3"/>
        <v>9.2022375004181829E-3</v>
      </c>
    </row>
    <row r="34" spans="2:6">
      <c r="B34" s="256">
        <v>45778</v>
      </c>
      <c r="C34" s="257">
        <f t="shared" si="1"/>
        <v>0.39880144831356634</v>
      </c>
      <c r="D34" s="262">
        <f t="shared" si="3"/>
        <v>9.2635857504209697E-3</v>
      </c>
    </row>
    <row r="35" spans="2:6">
      <c r="B35" s="258">
        <v>45809</v>
      </c>
      <c r="C35" s="259">
        <f t="shared" si="1"/>
        <v>0.40812679130232343</v>
      </c>
      <c r="D35" s="263">
        <f t="shared" si="3"/>
        <v>9.3253429887571095E-3</v>
      </c>
    </row>
    <row r="36" spans="2:6">
      <c r="B36" s="253">
        <v>45839</v>
      </c>
      <c r="C36" s="260">
        <f t="shared" si="1"/>
        <v>0.41751430324433891</v>
      </c>
      <c r="D36" s="264">
        <f t="shared" si="3"/>
        <v>9.3875119420154893E-3</v>
      </c>
    </row>
    <row r="37" spans="2:6">
      <c r="B37" s="256">
        <v>45870</v>
      </c>
      <c r="C37" s="257">
        <f t="shared" si="1"/>
        <v>0.42696439859930119</v>
      </c>
      <c r="D37" s="262">
        <f t="shared" si="3"/>
        <v>9.4500953549622596E-3</v>
      </c>
    </row>
    <row r="38" spans="2:6">
      <c r="B38" s="256">
        <v>45901</v>
      </c>
      <c r="C38" s="257">
        <f t="shared" si="1"/>
        <v>0.43647749458996321</v>
      </c>
      <c r="D38" s="262">
        <f t="shared" si="3"/>
        <v>9.5130959906620082E-3</v>
      </c>
    </row>
    <row r="39" spans="2:6">
      <c r="B39" s="256">
        <v>45931</v>
      </c>
      <c r="C39" s="257">
        <f t="shared" si="1"/>
        <v>0.44605401122056298</v>
      </c>
      <c r="D39" s="262">
        <f t="shared" si="3"/>
        <v>9.5765166305997549E-3</v>
      </c>
    </row>
    <row r="40" spans="2:6">
      <c r="B40" s="256">
        <v>45962</v>
      </c>
      <c r="C40" s="257">
        <f t="shared" si="1"/>
        <v>0.45569437129536672</v>
      </c>
      <c r="D40" s="262">
        <f t="shared" si="3"/>
        <v>9.6403600748037523E-3</v>
      </c>
    </row>
    <row r="41" spans="2:6">
      <c r="B41" s="256">
        <v>45992</v>
      </c>
      <c r="C41" s="257">
        <f t="shared" si="1"/>
        <v>0.46539900043733584</v>
      </c>
      <c r="D41" s="262">
        <f t="shared" si="3"/>
        <v>9.7046291419691129E-3</v>
      </c>
      <c r="E41" s="257"/>
      <c r="F41" s="393"/>
    </row>
    <row r="42" spans="2:6">
      <c r="B42" s="253">
        <v>46023</v>
      </c>
      <c r="C42" s="260">
        <f t="shared" si="1"/>
        <v>0.47516832710691809</v>
      </c>
      <c r="D42" s="264">
        <f t="shared" si="3"/>
        <v>9.7693266695822404E-3</v>
      </c>
    </row>
    <row r="43" spans="2:6">
      <c r="B43" s="256">
        <v>46054</v>
      </c>
      <c r="C43" s="257">
        <f t="shared" si="1"/>
        <v>0.48500278262096419</v>
      </c>
      <c r="D43" s="262">
        <f t="shared" si="3"/>
        <v>9.8344555140461205E-3</v>
      </c>
    </row>
    <row r="44" spans="2:6">
      <c r="B44" s="256">
        <v>46082</v>
      </c>
      <c r="C44" s="257">
        <f t="shared" si="1"/>
        <v>0.4949028011717706</v>
      </c>
      <c r="D44" s="262">
        <f t="shared" si="3"/>
        <v>9.9000185508064283E-3</v>
      </c>
    </row>
    <row r="45" spans="2:6">
      <c r="B45" s="256">
        <v>46113</v>
      </c>
      <c r="C45" s="257">
        <f t="shared" si="1"/>
        <v>0.5048688198462491</v>
      </c>
      <c r="D45" s="262">
        <f t="shared" si="3"/>
        <v>9.9660186744784714E-3</v>
      </c>
    </row>
    <row r="46" spans="2:6">
      <c r="B46" s="256">
        <v>46143</v>
      </c>
      <c r="C46" s="257">
        <f t="shared" si="1"/>
        <v>0.51490127864522406</v>
      </c>
      <c r="D46" s="262">
        <f t="shared" si="3"/>
        <v>1.0032458798974995E-2</v>
      </c>
    </row>
    <row r="47" spans="2:6">
      <c r="B47" s="258">
        <v>46174</v>
      </c>
      <c r="C47" s="259">
        <f t="shared" si="1"/>
        <v>0.52500062050285889</v>
      </c>
      <c r="D47" s="263">
        <f t="shared" si="3"/>
        <v>1.0099341857634827E-2</v>
      </c>
    </row>
    <row r="48" spans="2:6">
      <c r="B48" s="253">
        <v>46204</v>
      </c>
      <c r="C48" s="260">
        <f t="shared" ref="C48:C89" si="4">C47+D48</f>
        <v>0.53516729130621132</v>
      </c>
      <c r="D48" s="264">
        <f t="shared" ref="D48:D89" si="5">(1+C47)*$G$8</f>
        <v>1.0166670803352392E-2</v>
      </c>
    </row>
    <row r="49" spans="2:6">
      <c r="B49" s="256">
        <v>46235</v>
      </c>
      <c r="C49" s="257">
        <f t="shared" si="4"/>
        <v>0.54540173991491936</v>
      </c>
      <c r="D49" s="262">
        <f t="shared" si="5"/>
        <v>1.0234448608708075E-2</v>
      </c>
    </row>
    <row r="50" spans="2:6">
      <c r="B50" s="256">
        <v>46266</v>
      </c>
      <c r="C50" s="257">
        <f t="shared" si="4"/>
        <v>0.55570441818101879</v>
      </c>
      <c r="D50" s="262">
        <f t="shared" si="5"/>
        <v>1.0302678266099463E-2</v>
      </c>
    </row>
    <row r="51" spans="2:6">
      <c r="B51" s="256">
        <v>46296</v>
      </c>
      <c r="C51" s="257">
        <f t="shared" si="4"/>
        <v>0.56607578096889222</v>
      </c>
      <c r="D51" s="262">
        <f t="shared" si="5"/>
        <v>1.0371362787873458E-2</v>
      </c>
    </row>
    <row r="52" spans="2:6">
      <c r="B52" s="256">
        <v>46327</v>
      </c>
      <c r="C52" s="257">
        <f t="shared" si="4"/>
        <v>0.57651628617535144</v>
      </c>
      <c r="D52" s="262">
        <f t="shared" si="5"/>
        <v>1.0440505206459283E-2</v>
      </c>
    </row>
    <row r="53" spans="2:6">
      <c r="B53" s="258">
        <v>46357</v>
      </c>
      <c r="C53" s="259">
        <f t="shared" si="4"/>
        <v>0.58702639474985374</v>
      </c>
      <c r="D53" s="263">
        <f t="shared" si="5"/>
        <v>1.0510108574502344E-2</v>
      </c>
      <c r="E53" s="257"/>
      <c r="F53" s="393"/>
    </row>
    <row r="54" spans="2:6">
      <c r="B54" s="253">
        <v>46388</v>
      </c>
      <c r="C54" s="260">
        <f t="shared" si="4"/>
        <v>0.59760657071485279</v>
      </c>
      <c r="D54" s="264">
        <f t="shared" si="5"/>
        <v>1.0580175964999026E-2</v>
      </c>
    </row>
    <row r="55" spans="2:6">
      <c r="B55" s="256">
        <v>46419</v>
      </c>
      <c r="C55" s="257">
        <f t="shared" si="4"/>
        <v>0.60825728118628519</v>
      </c>
      <c r="D55" s="262">
        <f t="shared" si="5"/>
        <v>1.0650710471432352E-2</v>
      </c>
    </row>
    <row r="56" spans="2:6">
      <c r="B56" s="256">
        <v>46447</v>
      </c>
      <c r="C56" s="257">
        <f t="shared" si="4"/>
        <v>0.61897899639419374</v>
      </c>
      <c r="D56" s="262">
        <f t="shared" si="5"/>
        <v>1.0721715207908569E-2</v>
      </c>
    </row>
    <row r="57" spans="2:6">
      <c r="B57" s="256">
        <v>46478</v>
      </c>
      <c r="C57" s="257">
        <f t="shared" si="4"/>
        <v>0.62977218970348836</v>
      </c>
      <c r="D57" s="262">
        <f t="shared" si="5"/>
        <v>1.0793193309294624E-2</v>
      </c>
    </row>
    <row r="58" spans="2:6">
      <c r="B58" s="256">
        <v>46508</v>
      </c>
      <c r="C58" s="257">
        <f t="shared" si="4"/>
        <v>0.64063733763484498</v>
      </c>
      <c r="D58" s="262">
        <f t="shared" si="5"/>
        <v>1.0865147931356591E-2</v>
      </c>
    </row>
    <row r="59" spans="2:6">
      <c r="B59" s="258">
        <v>46539</v>
      </c>
      <c r="C59" s="259">
        <f t="shared" si="4"/>
        <v>0.6515749198857439</v>
      </c>
      <c r="D59" s="263">
        <f t="shared" si="5"/>
        <v>1.0937582250898966E-2</v>
      </c>
    </row>
    <row r="60" spans="2:6">
      <c r="B60" s="253">
        <v>46569</v>
      </c>
      <c r="C60" s="260">
        <f t="shared" si="4"/>
        <v>0.66258541935164883</v>
      </c>
      <c r="D60" s="264">
        <f t="shared" si="5"/>
        <v>1.101049946590496E-2</v>
      </c>
    </row>
    <row r="61" spans="2:6">
      <c r="B61" s="256">
        <v>46600</v>
      </c>
      <c r="C61" s="257">
        <f t="shared" si="4"/>
        <v>0.67366932214732644</v>
      </c>
      <c r="D61" s="262">
        <f t="shared" si="5"/>
        <v>1.1083902795677661E-2</v>
      </c>
    </row>
    <row r="62" spans="2:6">
      <c r="B62" s="256">
        <v>46631</v>
      </c>
      <c r="C62" s="257">
        <f t="shared" si="4"/>
        <v>0.68482711762830861</v>
      </c>
      <c r="D62" s="262">
        <f t="shared" si="5"/>
        <v>1.1157795480982178E-2</v>
      </c>
    </row>
    <row r="63" spans="2:6">
      <c r="B63" s="256">
        <v>46661</v>
      </c>
      <c r="C63" s="257">
        <f t="shared" si="4"/>
        <v>0.69605929841249736</v>
      </c>
      <c r="D63" s="262">
        <f t="shared" si="5"/>
        <v>1.1232180784188726E-2</v>
      </c>
    </row>
    <row r="64" spans="2:6">
      <c r="B64" s="256">
        <v>46692</v>
      </c>
      <c r="C64" s="257">
        <f t="shared" si="4"/>
        <v>0.70736636040191403</v>
      </c>
      <c r="D64" s="262">
        <f t="shared" si="5"/>
        <v>1.130706198941665E-2</v>
      </c>
    </row>
    <row r="65" spans="2:4">
      <c r="B65" s="258">
        <v>46722</v>
      </c>
      <c r="C65" s="259">
        <f t="shared" si="4"/>
        <v>0.71874880280459341</v>
      </c>
      <c r="D65" s="263">
        <f t="shared" si="5"/>
        <v>1.1382442402679428E-2</v>
      </c>
    </row>
    <row r="66" spans="2:4">
      <c r="B66" s="253">
        <v>46753</v>
      </c>
      <c r="C66" s="260">
        <f t="shared" si="4"/>
        <v>0.73020712815662403</v>
      </c>
      <c r="D66" s="264">
        <f t="shared" si="5"/>
        <v>1.1458325352030624E-2</v>
      </c>
    </row>
    <row r="67" spans="2:4">
      <c r="B67" s="256">
        <v>46784</v>
      </c>
      <c r="C67" s="257">
        <f t="shared" si="4"/>
        <v>0.74174184234433482</v>
      </c>
      <c r="D67" s="262">
        <f t="shared" si="5"/>
        <v>1.1534714187710828E-2</v>
      </c>
    </row>
    <row r="68" spans="2:4">
      <c r="B68" s="256">
        <v>46813</v>
      </c>
      <c r="C68" s="257">
        <f t="shared" si="4"/>
        <v>0.75335345462663039</v>
      </c>
      <c r="D68" s="262">
        <f t="shared" si="5"/>
        <v>1.1611612282295567E-2</v>
      </c>
    </row>
    <row r="69" spans="2:4">
      <c r="B69" s="256">
        <v>46844</v>
      </c>
      <c r="C69" s="257">
        <f t="shared" si="4"/>
        <v>0.76504247765747457</v>
      </c>
      <c r="D69" s="262">
        <f t="shared" si="5"/>
        <v>1.1689023030844202E-2</v>
      </c>
    </row>
    <row r="70" spans="2:4">
      <c r="B70" s="256">
        <v>46874</v>
      </c>
      <c r="C70" s="257">
        <f t="shared" si="4"/>
        <v>0.77680942750852444</v>
      </c>
      <c r="D70" s="262">
        <f t="shared" si="5"/>
        <v>1.1766949851049832E-2</v>
      </c>
    </row>
    <row r="71" spans="2:4">
      <c r="B71" s="258">
        <v>46905</v>
      </c>
      <c r="C71" s="259">
        <f t="shared" si="4"/>
        <v>0.78865482369191464</v>
      </c>
      <c r="D71" s="263">
        <f t="shared" si="5"/>
        <v>1.1845396183390164E-2</v>
      </c>
    </row>
    <row r="72" spans="2:4">
      <c r="B72" s="253">
        <v>46935</v>
      </c>
      <c r="C72" s="260">
        <f t="shared" si="4"/>
        <v>0.80057918918319404</v>
      </c>
      <c r="D72" s="264">
        <f t="shared" si="5"/>
        <v>1.1924365491279431E-2</v>
      </c>
    </row>
    <row r="73" spans="2:4">
      <c r="B73" s="256">
        <v>46966</v>
      </c>
      <c r="C73" s="257">
        <f t="shared" si="4"/>
        <v>0.81258305044441537</v>
      </c>
      <c r="D73" s="262">
        <f t="shared" si="5"/>
        <v>1.2003861261221294E-2</v>
      </c>
    </row>
    <row r="74" spans="2:4">
      <c r="B74" s="256">
        <v>46997</v>
      </c>
      <c r="C74" s="257">
        <f t="shared" si="4"/>
        <v>0.82466693744737818</v>
      </c>
      <c r="D74" s="262">
        <f t="shared" si="5"/>
        <v>1.208388700296277E-2</v>
      </c>
    </row>
    <row r="75" spans="2:4">
      <c r="B75" s="256">
        <v>47027</v>
      </c>
      <c r="C75" s="257">
        <f t="shared" si="4"/>
        <v>0.83683138369702736</v>
      </c>
      <c r="D75" s="262">
        <f t="shared" si="5"/>
        <v>1.2164446249649187E-2</v>
      </c>
    </row>
    <row r="76" spans="2:4">
      <c r="B76" s="256">
        <v>47058</v>
      </c>
      <c r="C76" s="257">
        <f t="shared" si="4"/>
        <v>0.84907692625500752</v>
      </c>
      <c r="D76" s="262">
        <f t="shared" si="5"/>
        <v>1.2245542557980183E-2</v>
      </c>
    </row>
    <row r="77" spans="2:4">
      <c r="B77" s="258">
        <v>47088</v>
      </c>
      <c r="C77" s="259">
        <f t="shared" si="4"/>
        <v>0.86140410576337423</v>
      </c>
      <c r="D77" s="263">
        <f t="shared" si="5"/>
        <v>1.2327179508366717E-2</v>
      </c>
    </row>
    <row r="78" spans="2:4">
      <c r="B78" s="253">
        <v>47119</v>
      </c>
      <c r="C78" s="260">
        <f t="shared" si="4"/>
        <v>0.87381346646846336</v>
      </c>
      <c r="D78" s="264">
        <f t="shared" si="5"/>
        <v>1.2409360705089164E-2</v>
      </c>
    </row>
    <row r="79" spans="2:4">
      <c r="B79" s="256">
        <v>47150</v>
      </c>
      <c r="C79" s="257">
        <f t="shared" si="4"/>
        <v>0.8863055562449198</v>
      </c>
      <c r="D79" s="262">
        <f t="shared" si="5"/>
        <v>1.2492089776456423E-2</v>
      </c>
    </row>
    <row r="80" spans="2:4">
      <c r="B80" s="256">
        <v>47178</v>
      </c>
      <c r="C80" s="257">
        <f t="shared" si="4"/>
        <v>0.89888092661988594</v>
      </c>
      <c r="D80" s="262">
        <f t="shared" si="5"/>
        <v>1.2575370374966133E-2</v>
      </c>
    </row>
    <row r="81" spans="2:4">
      <c r="B81" s="256">
        <v>47209</v>
      </c>
      <c r="C81" s="257">
        <f t="shared" si="4"/>
        <v>0.9115401327973518</v>
      </c>
      <c r="D81" s="262">
        <f t="shared" si="5"/>
        <v>1.2659206177465906E-2</v>
      </c>
    </row>
    <row r="82" spans="2:4">
      <c r="B82" s="256">
        <v>47239</v>
      </c>
      <c r="C82" s="257">
        <f t="shared" si="4"/>
        <v>0.92428373368266747</v>
      </c>
      <c r="D82" s="262">
        <f t="shared" si="5"/>
        <v>1.2743600885315679E-2</v>
      </c>
    </row>
    <row r="83" spans="2:4">
      <c r="B83" s="256">
        <v>47270</v>
      </c>
      <c r="C83" s="257">
        <f t="shared" si="4"/>
        <v>0.93711229190721856</v>
      </c>
      <c r="D83" s="262">
        <f t="shared" si="5"/>
        <v>1.2828558224551118E-2</v>
      </c>
    </row>
    <row r="84" spans="2:4">
      <c r="B84" s="253">
        <v>47300</v>
      </c>
      <c r="C84" s="260">
        <f t="shared" si="4"/>
        <v>0.95002637385326671</v>
      </c>
      <c r="D84" s="264">
        <f t="shared" si="5"/>
        <v>1.2914081946048124E-2</v>
      </c>
    </row>
    <row r="85" spans="2:4">
      <c r="B85" s="256">
        <v>47331</v>
      </c>
      <c r="C85" s="257">
        <f t="shared" si="4"/>
        <v>0.96302654967895518</v>
      </c>
      <c r="D85" s="262">
        <f t="shared" si="5"/>
        <v>1.3000175825688446E-2</v>
      </c>
    </row>
    <row r="86" spans="2:4">
      <c r="B86" s="256">
        <v>47362</v>
      </c>
      <c r="C86" s="257">
        <f t="shared" si="4"/>
        <v>0.97611339334348157</v>
      </c>
      <c r="D86" s="262">
        <f t="shared" si="5"/>
        <v>1.3086843664526369E-2</v>
      </c>
    </row>
    <row r="87" spans="2:4">
      <c r="B87" s="256">
        <v>47392</v>
      </c>
      <c r="C87" s="257">
        <f t="shared" si="4"/>
        <v>0.98928748263243815</v>
      </c>
      <c r="D87" s="262">
        <f t="shared" si="5"/>
        <v>1.3174089288956544E-2</v>
      </c>
    </row>
    <row r="88" spans="2:4">
      <c r="B88" s="256">
        <v>47423</v>
      </c>
      <c r="C88" s="257">
        <f t="shared" si="4"/>
        <v>1.002549399183321</v>
      </c>
      <c r="D88" s="262">
        <f t="shared" si="5"/>
        <v>1.3261916550882921E-2</v>
      </c>
    </row>
    <row r="89" spans="2:4">
      <c r="B89" s="258">
        <v>47453</v>
      </c>
      <c r="C89" s="259">
        <f t="shared" si="4"/>
        <v>1.0158997285112097</v>
      </c>
      <c r="D89" s="263">
        <f t="shared" si="5"/>
        <v>1.3350329327888809E-2</v>
      </c>
    </row>
    <row r="90" spans="2:4">
      <c r="B90" s="253">
        <v>47484</v>
      </c>
      <c r="C90" s="260">
        <f t="shared" ref="C90:C153" si="6">C89+D90</f>
        <v>1.0293390600346177</v>
      </c>
      <c r="D90" s="264">
        <f t="shared" ref="D90:D153" si="7">(1+C89)*$G$8</f>
        <v>1.3439331523408066E-2</v>
      </c>
    </row>
    <row r="91" spans="2:4">
      <c r="B91" s="256">
        <v>47515</v>
      </c>
      <c r="C91" s="257">
        <f t="shared" si="6"/>
        <v>1.0428679871015152</v>
      </c>
      <c r="D91" s="262">
        <f t="shared" si="7"/>
        <v>1.3528927066897451E-2</v>
      </c>
    </row>
    <row r="92" spans="2:4">
      <c r="B92" s="256">
        <v>47543</v>
      </c>
      <c r="C92" s="257">
        <f t="shared" si="6"/>
        <v>1.0564871070155253</v>
      </c>
      <c r="D92" s="262">
        <f t="shared" si="7"/>
        <v>1.3619119914010104E-2</v>
      </c>
    </row>
    <row r="93" spans="2:4">
      <c r="B93" s="256">
        <v>47574</v>
      </c>
      <c r="C93" s="257">
        <f t="shared" si="6"/>
        <v>1.0701970210622955</v>
      </c>
      <c r="D93" s="262">
        <f t="shared" si="7"/>
        <v>1.3709914046770168E-2</v>
      </c>
    </row>
    <row r="94" spans="2:4">
      <c r="B94" s="256">
        <v>47604</v>
      </c>
      <c r="C94" s="257">
        <f t="shared" si="6"/>
        <v>1.0839983345360442</v>
      </c>
      <c r="D94" s="262">
        <f t="shared" si="7"/>
        <v>1.3801313473748637E-2</v>
      </c>
    </row>
    <row r="95" spans="2:4">
      <c r="B95" s="256">
        <v>47635</v>
      </c>
      <c r="C95" s="257">
        <f t="shared" si="6"/>
        <v>1.0978916567662844</v>
      </c>
      <c r="D95" s="262">
        <f t="shared" si="7"/>
        <v>1.3893322230240297E-2</v>
      </c>
    </row>
    <row r="96" spans="2:4">
      <c r="B96" s="253">
        <v>47665</v>
      </c>
      <c r="C96" s="260">
        <f t="shared" si="6"/>
        <v>1.1118776011447262</v>
      </c>
      <c r="D96" s="264">
        <f t="shared" si="7"/>
        <v>1.3985944378441898E-2</v>
      </c>
    </row>
    <row r="97" spans="2:4">
      <c r="B97" s="256">
        <v>47696</v>
      </c>
      <c r="C97" s="257">
        <f t="shared" si="6"/>
        <v>1.1259567851523578</v>
      </c>
      <c r="D97" s="262">
        <f t="shared" si="7"/>
        <v>1.407918400763151E-2</v>
      </c>
    </row>
    <row r="98" spans="2:4">
      <c r="B98" s="256">
        <v>47727</v>
      </c>
      <c r="C98" s="257">
        <f t="shared" si="6"/>
        <v>1.1401298303867069</v>
      </c>
      <c r="D98" s="262">
        <f t="shared" si="7"/>
        <v>1.4173045234349053E-2</v>
      </c>
    </row>
    <row r="99" spans="2:4">
      <c r="B99" s="256">
        <v>47757</v>
      </c>
      <c r="C99" s="257">
        <f t="shared" si="6"/>
        <v>1.1543973625892849</v>
      </c>
      <c r="D99" s="262">
        <f t="shared" si="7"/>
        <v>1.4267532202578048E-2</v>
      </c>
    </row>
    <row r="100" spans="2:4">
      <c r="B100" s="256">
        <v>47788</v>
      </c>
      <c r="C100" s="257">
        <f t="shared" si="6"/>
        <v>1.1687600116732135</v>
      </c>
      <c r="D100" s="262">
        <f t="shared" si="7"/>
        <v>1.4362649083928569E-2</v>
      </c>
    </row>
    <row r="101" spans="2:4">
      <c r="B101" s="258">
        <v>47818</v>
      </c>
      <c r="C101" s="259">
        <f t="shared" si="6"/>
        <v>1.1832184117510349</v>
      </c>
      <c r="D101" s="263">
        <f t="shared" si="7"/>
        <v>1.4458400077821423E-2</v>
      </c>
    </row>
    <row r="102" spans="2:4">
      <c r="B102" s="253">
        <v>47849</v>
      </c>
      <c r="C102" s="260">
        <f t="shared" si="6"/>
        <v>1.1977732011627085</v>
      </c>
      <c r="D102" s="264">
        <f t="shared" si="7"/>
        <v>1.4554789411673569E-2</v>
      </c>
    </row>
    <row r="103" spans="2:4">
      <c r="B103" s="256">
        <v>47880</v>
      </c>
      <c r="C103" s="257">
        <f t="shared" si="6"/>
        <v>1.2124250225037931</v>
      </c>
      <c r="D103" s="262">
        <f t="shared" si="7"/>
        <v>1.4651821341084724E-2</v>
      </c>
    </row>
    <row r="104" spans="2:4">
      <c r="B104" s="256">
        <v>47908</v>
      </c>
      <c r="C104" s="257">
        <f t="shared" si="6"/>
        <v>1.2271745226538184</v>
      </c>
      <c r="D104" s="262">
        <f t="shared" si="7"/>
        <v>1.4749500150025288E-2</v>
      </c>
    </row>
    <row r="105" spans="2:4">
      <c r="B105" s="256">
        <v>47939</v>
      </c>
      <c r="C105" s="257">
        <f t="shared" si="6"/>
        <v>1.242022352804844</v>
      </c>
      <c r="D105" s="262">
        <f t="shared" si="7"/>
        <v>1.4847830151025459E-2</v>
      </c>
    </row>
    <row r="106" spans="2:4">
      <c r="B106" s="256">
        <v>47969</v>
      </c>
      <c r="C106" s="257">
        <f t="shared" si="6"/>
        <v>1.2569691684902096</v>
      </c>
      <c r="D106" s="262">
        <f t="shared" si="7"/>
        <v>1.4946815685365628E-2</v>
      </c>
    </row>
    <row r="107" spans="2:4">
      <c r="B107" s="256">
        <v>48000</v>
      </c>
      <c r="C107" s="257">
        <f t="shared" si="6"/>
        <v>1.2720156296134777</v>
      </c>
      <c r="D107" s="262">
        <f t="shared" si="7"/>
        <v>1.5046461123268065E-2</v>
      </c>
    </row>
    <row r="108" spans="2:4">
      <c r="B108" s="253">
        <v>48030</v>
      </c>
      <c r="C108" s="260">
        <f t="shared" si="6"/>
        <v>1.2871624004775675</v>
      </c>
      <c r="D108" s="264">
        <f t="shared" si="7"/>
        <v>1.514677086408985E-2</v>
      </c>
    </row>
    <row r="109" spans="2:4">
      <c r="B109" s="256">
        <v>48061</v>
      </c>
      <c r="C109" s="257">
        <f t="shared" si="6"/>
        <v>1.3024101498140845</v>
      </c>
      <c r="D109" s="262">
        <f t="shared" si="7"/>
        <v>1.5247749336517118E-2</v>
      </c>
    </row>
    <row r="110" spans="2:4">
      <c r="B110" s="256">
        <v>48092</v>
      </c>
      <c r="C110" s="257">
        <f t="shared" si="6"/>
        <v>1.317759550812845</v>
      </c>
      <c r="D110" s="262">
        <f t="shared" si="7"/>
        <v>1.5349400998760566E-2</v>
      </c>
    </row>
    <row r="111" spans="2:4">
      <c r="B111" s="256">
        <v>48122</v>
      </c>
      <c r="C111" s="257">
        <f t="shared" si="6"/>
        <v>1.3332112811515973</v>
      </c>
      <c r="D111" s="262">
        <f t="shared" si="7"/>
        <v>1.5451730338752299E-2</v>
      </c>
    </row>
    <row r="112" spans="2:4">
      <c r="B112" s="256">
        <v>48153</v>
      </c>
      <c r="C112" s="257">
        <f t="shared" si="6"/>
        <v>1.3487660230259413</v>
      </c>
      <c r="D112" s="262">
        <f t="shared" si="7"/>
        <v>1.5554741874343985E-2</v>
      </c>
    </row>
    <row r="113" spans="2:4">
      <c r="B113" s="258">
        <v>48183</v>
      </c>
      <c r="C113" s="259">
        <f t="shared" si="6"/>
        <v>1.3644244631794475</v>
      </c>
      <c r="D113" s="263">
        <f t="shared" si="7"/>
        <v>1.5658440153506276E-2</v>
      </c>
    </row>
    <row r="114" spans="2:4">
      <c r="B114" s="253">
        <v>48214</v>
      </c>
      <c r="C114" s="260">
        <f t="shared" si="6"/>
        <v>1.3801872929339771</v>
      </c>
      <c r="D114" s="264">
        <f t="shared" si="7"/>
        <v>1.576282975452965E-2</v>
      </c>
    </row>
    <row r="115" spans="2:4">
      <c r="B115" s="256">
        <v>48245</v>
      </c>
      <c r="C115" s="257">
        <f t="shared" si="6"/>
        <v>1.3960552082202036</v>
      </c>
      <c r="D115" s="262">
        <f t="shared" si="7"/>
        <v>1.5867915286226515E-2</v>
      </c>
    </row>
    <row r="116" spans="2:4">
      <c r="B116" s="256">
        <v>48274</v>
      </c>
      <c r="C116" s="257">
        <f t="shared" si="6"/>
        <v>1.4120289096083383</v>
      </c>
      <c r="D116" s="262">
        <f t="shared" si="7"/>
        <v>1.5973701388134691E-2</v>
      </c>
    </row>
    <row r="117" spans="2:4">
      <c r="B117" s="256">
        <v>48305</v>
      </c>
      <c r="C117" s="257">
        <f t="shared" si="6"/>
        <v>1.4281091023390606</v>
      </c>
      <c r="D117" s="262">
        <f t="shared" si="7"/>
        <v>1.6080192730722257E-2</v>
      </c>
    </row>
    <row r="118" spans="2:4">
      <c r="B118" s="256">
        <v>48335</v>
      </c>
      <c r="C118" s="257">
        <f t="shared" si="6"/>
        <v>1.4442964963546543</v>
      </c>
      <c r="D118" s="262">
        <f t="shared" si="7"/>
        <v>1.6187394015593739E-2</v>
      </c>
    </row>
    <row r="119" spans="2:4">
      <c r="B119" s="256">
        <v>48366</v>
      </c>
      <c r="C119" s="257">
        <f t="shared" si="6"/>
        <v>1.460591806330352</v>
      </c>
      <c r="D119" s="262">
        <f t="shared" si="7"/>
        <v>1.6295309975697697E-2</v>
      </c>
    </row>
    <row r="120" spans="2:4">
      <c r="B120" s="253">
        <v>48396</v>
      </c>
      <c r="C120" s="260">
        <f t="shared" si="6"/>
        <v>1.4769957517058876</v>
      </c>
      <c r="D120" s="264">
        <f t="shared" si="7"/>
        <v>1.6403945375535679E-2</v>
      </c>
    </row>
    <row r="121" spans="2:4">
      <c r="B121" s="256">
        <v>48427</v>
      </c>
      <c r="C121" s="257">
        <f t="shared" si="6"/>
        <v>1.4935090567172602</v>
      </c>
      <c r="D121" s="262">
        <f t="shared" si="7"/>
        <v>1.6513305011372582E-2</v>
      </c>
    </row>
    <row r="122" spans="2:4">
      <c r="B122" s="256">
        <v>48458</v>
      </c>
      <c r="C122" s="257">
        <f t="shared" si="6"/>
        <v>1.5101324504287086</v>
      </c>
      <c r="D122" s="262">
        <f t="shared" si="7"/>
        <v>1.6623393711448404E-2</v>
      </c>
    </row>
    <row r="123" spans="2:4">
      <c r="B123" s="256">
        <v>48488</v>
      </c>
      <c r="C123" s="257">
        <f t="shared" si="6"/>
        <v>1.5268666667649</v>
      </c>
      <c r="D123" s="262">
        <f t="shared" si="7"/>
        <v>1.673421633619139E-2</v>
      </c>
    </row>
    <row r="124" spans="2:4">
      <c r="B124" s="256">
        <v>48519</v>
      </c>
      <c r="C124" s="257">
        <f t="shared" si="6"/>
        <v>1.5437124445433328</v>
      </c>
      <c r="D124" s="262">
        <f t="shared" si="7"/>
        <v>1.6845777778432668E-2</v>
      </c>
    </row>
    <row r="125" spans="2:4">
      <c r="B125" s="258">
        <v>48549</v>
      </c>
      <c r="C125" s="259">
        <f t="shared" si="6"/>
        <v>1.560670527506955</v>
      </c>
      <c r="D125" s="263">
        <f t="shared" si="7"/>
        <v>1.695808296362222E-2</v>
      </c>
    </row>
    <row r="126" spans="2:4">
      <c r="B126" s="253">
        <v>48580</v>
      </c>
      <c r="C126" s="260">
        <f t="shared" si="6"/>
        <v>1.5777416643570015</v>
      </c>
      <c r="D126" s="264">
        <f t="shared" si="7"/>
        <v>1.7071136850046367E-2</v>
      </c>
    </row>
    <row r="127" spans="2:4">
      <c r="B127" s="256">
        <v>48611</v>
      </c>
      <c r="C127" s="257">
        <f t="shared" si="6"/>
        <v>1.5949266087860481</v>
      </c>
      <c r="D127" s="262">
        <f t="shared" si="7"/>
        <v>1.7184944429046677E-2</v>
      </c>
    </row>
    <row r="128" spans="2:4">
      <c r="B128" s="256">
        <v>48639</v>
      </c>
      <c r="C128" s="257">
        <f t="shared" si="6"/>
        <v>1.6122261195112884</v>
      </c>
      <c r="D128" s="262">
        <f t="shared" si="7"/>
        <v>1.7299510725240323E-2</v>
      </c>
    </row>
    <row r="129" spans="2:4">
      <c r="B129" s="256">
        <v>48670</v>
      </c>
      <c r="C129" s="257">
        <f t="shared" si="6"/>
        <v>1.6296409603080302</v>
      </c>
      <c r="D129" s="262">
        <f t="shared" si="7"/>
        <v>1.7414840796741923E-2</v>
      </c>
    </row>
    <row r="130" spans="2:4">
      <c r="B130" s="256">
        <v>48700</v>
      </c>
      <c r="C130" s="257">
        <f t="shared" si="6"/>
        <v>1.6471719000434171</v>
      </c>
      <c r="D130" s="262">
        <f t="shared" si="7"/>
        <v>1.7530939735386868E-2</v>
      </c>
    </row>
    <row r="131" spans="2:4">
      <c r="B131" s="256">
        <v>48731</v>
      </c>
      <c r="C131" s="257">
        <f t="shared" si="6"/>
        <v>1.6648197127103732</v>
      </c>
      <c r="D131" s="262">
        <f t="shared" si="7"/>
        <v>1.7647812666956114E-2</v>
      </c>
    </row>
    <row r="132" spans="2:4">
      <c r="B132" s="253">
        <v>48761</v>
      </c>
      <c r="C132" s="260">
        <f t="shared" si="6"/>
        <v>1.6825851774617757</v>
      </c>
      <c r="D132" s="264">
        <f t="shared" si="7"/>
        <v>1.7765464751402487E-2</v>
      </c>
    </row>
    <row r="133" spans="2:4">
      <c r="B133" s="256">
        <v>48792</v>
      </c>
      <c r="C133" s="257">
        <f t="shared" si="6"/>
        <v>1.7004690786448542</v>
      </c>
      <c r="D133" s="262">
        <f t="shared" si="7"/>
        <v>1.7883901183078504E-2</v>
      </c>
    </row>
    <row r="134" spans="2:4">
      <c r="B134" s="256">
        <v>48823</v>
      </c>
      <c r="C134" s="257">
        <f t="shared" si="6"/>
        <v>1.7184722058358199</v>
      </c>
      <c r="D134" s="262">
        <f t="shared" si="7"/>
        <v>1.8003127190965695E-2</v>
      </c>
    </row>
    <row r="135" spans="2:4">
      <c r="B135" s="256">
        <v>48853</v>
      </c>
      <c r="C135" s="257">
        <f t="shared" si="6"/>
        <v>1.7365953538747254</v>
      </c>
      <c r="D135" s="262">
        <f t="shared" si="7"/>
        <v>1.8123148038905464E-2</v>
      </c>
    </row>
    <row r="136" spans="2:4">
      <c r="B136" s="256">
        <v>48884</v>
      </c>
      <c r="C136" s="257">
        <f t="shared" si="6"/>
        <v>1.754839322900557</v>
      </c>
      <c r="D136" s="262">
        <f t="shared" si="7"/>
        <v>1.8243969025831502E-2</v>
      </c>
    </row>
    <row r="137" spans="2:4">
      <c r="B137" s="258">
        <v>48914</v>
      </c>
      <c r="C137" s="259">
        <f t="shared" si="6"/>
        <v>1.7732049183865608</v>
      </c>
      <c r="D137" s="263">
        <f t="shared" si="7"/>
        <v>1.8365595486003715E-2</v>
      </c>
    </row>
    <row r="138" spans="2:4">
      <c r="B138" s="253">
        <v>48945</v>
      </c>
      <c r="C138" s="260">
        <f t="shared" si="6"/>
        <v>1.7916929511758046</v>
      </c>
      <c r="D138" s="264">
        <f t="shared" si="7"/>
        <v>1.8488032789243741E-2</v>
      </c>
    </row>
    <row r="139" spans="2:4">
      <c r="B139" s="256">
        <v>48976</v>
      </c>
      <c r="C139" s="257">
        <f t="shared" si="6"/>
        <v>1.8103042375169767</v>
      </c>
      <c r="D139" s="262">
        <f t="shared" si="7"/>
        <v>1.8611286341172033E-2</v>
      </c>
    </row>
    <row r="140" spans="2:4">
      <c r="B140" s="256">
        <v>49004</v>
      </c>
      <c r="C140" s="257">
        <f t="shared" si="6"/>
        <v>1.8290395991004231</v>
      </c>
      <c r="D140" s="262">
        <f t="shared" si="7"/>
        <v>1.8735361583446512E-2</v>
      </c>
    </row>
    <row r="141" spans="2:4">
      <c r="B141" s="256">
        <v>49035</v>
      </c>
      <c r="C141" s="257">
        <f t="shared" si="6"/>
        <v>1.8478998630944259</v>
      </c>
      <c r="D141" s="262">
        <f t="shared" si="7"/>
        <v>1.8860263994002823E-2</v>
      </c>
    </row>
    <row r="142" spans="2:4">
      <c r="B142" s="256">
        <v>49065</v>
      </c>
      <c r="C142" s="257">
        <f t="shared" si="6"/>
        <v>1.8668858621817221</v>
      </c>
      <c r="D142" s="262">
        <f t="shared" si="7"/>
        <v>1.8985999087296174E-2</v>
      </c>
    </row>
    <row r="143" spans="2:4">
      <c r="B143" s="256">
        <v>49096</v>
      </c>
      <c r="C143" s="257">
        <f t="shared" si="6"/>
        <v>1.885998434596267</v>
      </c>
      <c r="D143" s="262">
        <f t="shared" si="7"/>
        <v>1.9112572414544816E-2</v>
      </c>
    </row>
    <row r="144" spans="2:4">
      <c r="B144" s="253">
        <v>49126</v>
      </c>
      <c r="C144" s="260">
        <f t="shared" si="6"/>
        <v>1.9052384241602422</v>
      </c>
      <c r="D144" s="264">
        <f t="shared" si="7"/>
        <v>1.9239989563975116E-2</v>
      </c>
    </row>
    <row r="145" spans="2:4">
      <c r="B145" s="256">
        <v>49157</v>
      </c>
      <c r="C145" s="257">
        <f t="shared" si="6"/>
        <v>1.9246066803213104</v>
      </c>
      <c r="D145" s="262">
        <f t="shared" si="7"/>
        <v>1.9368256161068284E-2</v>
      </c>
    </row>
    <row r="146" spans="2:4">
      <c r="B146" s="256">
        <v>49188</v>
      </c>
      <c r="C146" s="257">
        <f t="shared" si="6"/>
        <v>1.9441040581901192</v>
      </c>
      <c r="D146" s="262">
        <f t="shared" si="7"/>
        <v>1.9497377868808737E-2</v>
      </c>
    </row>
    <row r="147" spans="2:4">
      <c r="B147" s="256">
        <v>49218</v>
      </c>
      <c r="C147" s="257">
        <f t="shared" si="6"/>
        <v>1.9637314185780534</v>
      </c>
      <c r="D147" s="262">
        <f t="shared" si="7"/>
        <v>1.9627360387934129E-2</v>
      </c>
    </row>
    <row r="148" spans="2:4">
      <c r="B148" s="256">
        <v>49249</v>
      </c>
      <c r="C148" s="257">
        <f t="shared" si="6"/>
        <v>1.9834896280352405</v>
      </c>
      <c r="D148" s="262">
        <f t="shared" si="7"/>
        <v>1.9758209457187023E-2</v>
      </c>
    </row>
    <row r="149" spans="2:4">
      <c r="B149" s="258">
        <v>49279</v>
      </c>
      <c r="C149" s="259">
        <f t="shared" si="6"/>
        <v>2.0033795588888088</v>
      </c>
      <c r="D149" s="263">
        <f t="shared" si="7"/>
        <v>1.9889930853568272E-2</v>
      </c>
    </row>
    <row r="150" spans="2:4">
      <c r="B150" s="253">
        <v>49310</v>
      </c>
      <c r="C150" s="260">
        <f t="shared" si="6"/>
        <v>2.0234020892814009</v>
      </c>
      <c r="D150" s="264">
        <f t="shared" si="7"/>
        <v>2.002253039259206E-2</v>
      </c>
    </row>
    <row r="151" spans="2:4">
      <c r="B151" s="256">
        <v>49341</v>
      </c>
      <c r="C151" s="257">
        <f t="shared" si="6"/>
        <v>2.0435581032099437</v>
      </c>
      <c r="D151" s="262">
        <f t="shared" si="7"/>
        <v>2.0156013928542674E-2</v>
      </c>
    </row>
    <row r="152" spans="2:4">
      <c r="B152" s="256">
        <v>49369</v>
      </c>
      <c r="C152" s="257">
        <f t="shared" si="6"/>
        <v>2.0638484905646766</v>
      </c>
      <c r="D152" s="262">
        <f t="shared" si="7"/>
        <v>2.0290387354732958E-2</v>
      </c>
    </row>
    <row r="153" spans="2:4">
      <c r="B153" s="256">
        <v>49400</v>
      </c>
      <c r="C153" s="257">
        <f t="shared" si="6"/>
        <v>2.0842741471684412</v>
      </c>
      <c r="D153" s="262">
        <f t="shared" si="7"/>
        <v>2.0425656603764511E-2</v>
      </c>
    </row>
    <row r="154" spans="2:4">
      <c r="B154" s="256">
        <v>49430</v>
      </c>
      <c r="C154" s="257">
        <f t="shared" ref="C154:C217" si="8">C153+D154</f>
        <v>2.1048359748162309</v>
      </c>
      <c r="D154" s="262">
        <f t="shared" ref="D154:D217" si="9">(1+C153)*$G$8</f>
        <v>2.0561827647789608E-2</v>
      </c>
    </row>
    <row r="155" spans="2:4">
      <c r="B155" s="256">
        <v>49461</v>
      </c>
      <c r="C155" s="257">
        <f t="shared" si="8"/>
        <v>2.1255348813150059</v>
      </c>
      <c r="D155" s="262">
        <f t="shared" si="9"/>
        <v>2.0698906498774875E-2</v>
      </c>
    </row>
    <row r="156" spans="2:4">
      <c r="B156" s="253">
        <v>49491</v>
      </c>
      <c r="C156" s="260">
        <f t="shared" si="8"/>
        <v>2.1463717805237725</v>
      </c>
      <c r="D156" s="264">
        <f t="shared" si="9"/>
        <v>2.0836899208766708E-2</v>
      </c>
    </row>
    <row r="157" spans="2:4">
      <c r="B157" s="256">
        <v>49522</v>
      </c>
      <c r="C157" s="257">
        <f t="shared" si="8"/>
        <v>2.1673475923939312</v>
      </c>
      <c r="D157" s="262">
        <f t="shared" si="9"/>
        <v>2.0975811870158484E-2</v>
      </c>
    </row>
    <row r="158" spans="2:4">
      <c r="B158" s="256">
        <v>49553</v>
      </c>
      <c r="C158" s="257">
        <f t="shared" si="8"/>
        <v>2.1884632430098905</v>
      </c>
      <c r="D158" s="262">
        <f t="shared" si="9"/>
        <v>2.1115650615959543E-2</v>
      </c>
    </row>
    <row r="159" spans="2:4">
      <c r="B159" s="256">
        <v>49583</v>
      </c>
      <c r="C159" s="257">
        <f t="shared" si="8"/>
        <v>2.2097196646299566</v>
      </c>
      <c r="D159" s="262">
        <f t="shared" si="9"/>
        <v>2.1256421620065937E-2</v>
      </c>
    </row>
    <row r="160" spans="2:4">
      <c r="B160" s="256">
        <v>49614</v>
      </c>
      <c r="C160" s="257">
        <f t="shared" si="8"/>
        <v>2.2311177957274895</v>
      </c>
      <c r="D160" s="262">
        <f t="shared" si="9"/>
        <v>2.1398131097533045E-2</v>
      </c>
    </row>
    <row r="161" spans="2:4">
      <c r="B161" s="258">
        <v>49644</v>
      </c>
      <c r="C161" s="259">
        <f t="shared" si="8"/>
        <v>2.2526585810323394</v>
      </c>
      <c r="D161" s="263">
        <f t="shared" si="9"/>
        <v>2.154078530484993E-2</v>
      </c>
    </row>
    <row r="162" spans="2:4">
      <c r="B162" s="253">
        <v>49675</v>
      </c>
      <c r="C162" s="260">
        <f t="shared" si="8"/>
        <v>2.2743429715725552</v>
      </c>
      <c r="D162" s="264">
        <f t="shared" si="9"/>
        <v>2.1684390540215596E-2</v>
      </c>
    </row>
    <row r="163" spans="2:4">
      <c r="B163" s="256">
        <v>49706</v>
      </c>
      <c r="C163" s="257">
        <f t="shared" si="8"/>
        <v>2.2961719247163721</v>
      </c>
      <c r="D163" s="262">
        <f t="shared" si="9"/>
        <v>2.1828953143817036E-2</v>
      </c>
    </row>
    <row r="164" spans="2:4">
      <c r="B164" s="256">
        <v>49735</v>
      </c>
      <c r="C164" s="257">
        <f t="shared" si="8"/>
        <v>2.318146404214481</v>
      </c>
      <c r="D164" s="262">
        <f t="shared" si="9"/>
        <v>2.1974479498109149E-2</v>
      </c>
    </row>
    <row r="165" spans="2:4">
      <c r="B165" s="256">
        <v>49766</v>
      </c>
      <c r="C165" s="257">
        <f t="shared" si="8"/>
        <v>2.3402673802425777</v>
      </c>
      <c r="D165" s="262">
        <f t="shared" si="9"/>
        <v>2.2120976028096543E-2</v>
      </c>
    </row>
    <row r="166" spans="2:4">
      <c r="B166" s="256">
        <v>49796</v>
      </c>
      <c r="C166" s="257">
        <f t="shared" si="8"/>
        <v>2.3625358294441949</v>
      </c>
      <c r="D166" s="262">
        <f t="shared" si="9"/>
        <v>2.2268449201617187E-2</v>
      </c>
    </row>
    <row r="167" spans="2:4">
      <c r="B167" s="256">
        <v>49827</v>
      </c>
      <c r="C167" s="257">
        <f t="shared" si="8"/>
        <v>2.3849527349738229</v>
      </c>
      <c r="D167" s="262">
        <f t="shared" si="9"/>
        <v>2.2416905529627967E-2</v>
      </c>
    </row>
    <row r="168" spans="2:4">
      <c r="B168" s="253">
        <v>49857</v>
      </c>
      <c r="C168" s="260">
        <f t="shared" si="8"/>
        <v>2.4075190865403151</v>
      </c>
      <c r="D168" s="264">
        <f t="shared" si="9"/>
        <v>2.2566351566492154E-2</v>
      </c>
    </row>
    <row r="169" spans="2:4">
      <c r="B169" s="256">
        <v>49888</v>
      </c>
      <c r="C169" s="257">
        <f t="shared" si="8"/>
        <v>2.4302358804505837</v>
      </c>
      <c r="D169" s="262">
        <f t="shared" si="9"/>
        <v>2.2716793910268769E-2</v>
      </c>
    </row>
    <row r="170" spans="2:4">
      <c r="B170" s="256">
        <v>49919</v>
      </c>
      <c r="C170" s="257">
        <f t="shared" si="8"/>
        <v>2.4531041196535877</v>
      </c>
      <c r="D170" s="262">
        <f t="shared" si="9"/>
        <v>2.2868239203003893E-2</v>
      </c>
    </row>
    <row r="171" spans="2:4">
      <c r="B171" s="256">
        <v>49949</v>
      </c>
      <c r="C171" s="257">
        <f t="shared" si="8"/>
        <v>2.4761248137846117</v>
      </c>
      <c r="D171" s="262">
        <f t="shared" si="9"/>
        <v>2.3020694131023919E-2</v>
      </c>
    </row>
    <row r="172" spans="2:4">
      <c r="B172" s="256">
        <v>49980</v>
      </c>
      <c r="C172" s="257">
        <f t="shared" si="8"/>
        <v>2.4992989792098426</v>
      </c>
      <c r="D172" s="262">
        <f t="shared" si="9"/>
        <v>2.3174165425230746E-2</v>
      </c>
    </row>
    <row r="173" spans="2:4">
      <c r="B173" s="258">
        <v>50010</v>
      </c>
      <c r="C173" s="259">
        <f t="shared" si="8"/>
        <v>2.5226276390712417</v>
      </c>
      <c r="D173" s="263">
        <f t="shared" si="9"/>
        <v>2.332865986139895E-2</v>
      </c>
    </row>
    <row r="174" spans="2:4">
      <c r="B174" s="253">
        <v>50041</v>
      </c>
      <c r="C174" s="260">
        <f t="shared" si="8"/>
        <v>2.5461118233317168</v>
      </c>
      <c r="D174" s="264">
        <f t="shared" si="9"/>
        <v>2.3484184260474945E-2</v>
      </c>
    </row>
    <row r="175" spans="2:4">
      <c r="B175" s="256">
        <v>50072</v>
      </c>
      <c r="C175" s="257">
        <f t="shared" si="8"/>
        <v>2.5697525688205949</v>
      </c>
      <c r="D175" s="262">
        <f t="shared" si="9"/>
        <v>2.3640745488878113E-2</v>
      </c>
    </row>
    <row r="176" spans="2:4">
      <c r="B176" s="256">
        <v>50100</v>
      </c>
      <c r="C176" s="257">
        <f t="shared" si="8"/>
        <v>2.5935509192793988</v>
      </c>
      <c r="D176" s="262">
        <f t="shared" si="9"/>
        <v>2.3798350458803966E-2</v>
      </c>
    </row>
    <row r="177" spans="2:4">
      <c r="B177" s="256">
        <v>50131</v>
      </c>
      <c r="C177" s="257">
        <f t="shared" si="8"/>
        <v>2.6175079254079283</v>
      </c>
      <c r="D177" s="262">
        <f t="shared" si="9"/>
        <v>2.3957006128529326E-2</v>
      </c>
    </row>
    <row r="178" spans="2:4">
      <c r="B178" s="256">
        <v>50161</v>
      </c>
      <c r="C178" s="257">
        <f t="shared" si="8"/>
        <v>2.6416246449106477</v>
      </c>
      <c r="D178" s="262">
        <f t="shared" si="9"/>
        <v>2.4116719502719524E-2</v>
      </c>
    </row>
    <row r="179" spans="2:4">
      <c r="B179" s="256">
        <v>50192</v>
      </c>
      <c r="C179" s="257">
        <f t="shared" si="8"/>
        <v>2.6659021425433855</v>
      </c>
      <c r="D179" s="262">
        <f t="shared" si="9"/>
        <v>2.4277497632737653E-2</v>
      </c>
    </row>
    <row r="180" spans="2:4">
      <c r="B180" s="253">
        <v>50222</v>
      </c>
      <c r="C180" s="260">
        <f t="shared" si="8"/>
        <v>2.6903414901603413</v>
      </c>
      <c r="D180" s="264">
        <f t="shared" si="9"/>
        <v>2.4439347616955907E-2</v>
      </c>
    </row>
    <row r="181" spans="2:4">
      <c r="B181" s="256">
        <v>50253</v>
      </c>
      <c r="C181" s="257">
        <f t="shared" si="8"/>
        <v>2.7149437667614102</v>
      </c>
      <c r="D181" s="262">
        <f t="shared" si="9"/>
        <v>2.4602276601068944E-2</v>
      </c>
    </row>
    <row r="182" spans="2:4">
      <c r="B182" s="256">
        <v>50284</v>
      </c>
      <c r="C182" s="257">
        <f t="shared" si="8"/>
        <v>2.7397100585398197</v>
      </c>
      <c r="D182" s="262">
        <f t="shared" si="9"/>
        <v>2.4766291778409402E-2</v>
      </c>
    </row>
    <row r="183" spans="2:4">
      <c r="B183" s="256">
        <v>50314</v>
      </c>
      <c r="C183" s="257">
        <f t="shared" si="8"/>
        <v>2.7646414589300852</v>
      </c>
      <c r="D183" s="262">
        <f t="shared" si="9"/>
        <v>2.4931400390265465E-2</v>
      </c>
    </row>
    <row r="184" spans="2:4">
      <c r="B184" s="256">
        <v>50345</v>
      </c>
      <c r="C184" s="257">
        <f t="shared" si="8"/>
        <v>2.789739068656286</v>
      </c>
      <c r="D184" s="262">
        <f t="shared" si="9"/>
        <v>2.5097609726200568E-2</v>
      </c>
    </row>
    <row r="185" spans="2:4">
      <c r="B185" s="258">
        <v>50375</v>
      </c>
      <c r="C185" s="259">
        <f t="shared" si="8"/>
        <v>2.8150039957806614</v>
      </c>
      <c r="D185" s="263">
        <f t="shared" si="9"/>
        <v>2.5264927124375242E-2</v>
      </c>
    </row>
    <row r="186" spans="2:4">
      <c r="B186" s="253">
        <v>50406</v>
      </c>
      <c r="C186" s="260">
        <f t="shared" si="8"/>
        <v>2.8404373557525324</v>
      </c>
      <c r="D186" s="264">
        <f t="shared" si="9"/>
        <v>2.5433359971871079E-2</v>
      </c>
    </row>
    <row r="187" spans="2:4">
      <c r="B187" s="256">
        <v>50437</v>
      </c>
      <c r="C187" s="257">
        <f t="shared" si="8"/>
        <v>2.8660402714575492</v>
      </c>
      <c r="D187" s="262">
        <f t="shared" si="9"/>
        <v>2.5602915705016886E-2</v>
      </c>
    </row>
    <row r="188" spans="2:4">
      <c r="B188" s="256">
        <v>50465</v>
      </c>
      <c r="C188" s="257">
        <f t="shared" si="8"/>
        <v>2.8918138732672665</v>
      </c>
      <c r="D188" s="262">
        <f t="shared" si="9"/>
        <v>2.5773601809716995E-2</v>
      </c>
    </row>
    <row r="189" spans="2:4">
      <c r="B189" s="256">
        <v>50496</v>
      </c>
      <c r="C189" s="257">
        <f t="shared" si="8"/>
        <v>2.9177592990890484</v>
      </c>
      <c r="D189" s="262">
        <f t="shared" si="9"/>
        <v>2.5945425821781779E-2</v>
      </c>
    </row>
    <row r="190" spans="2:4">
      <c r="B190" s="256">
        <v>50526</v>
      </c>
      <c r="C190" s="257">
        <f t="shared" si="8"/>
        <v>2.9438776944163085</v>
      </c>
      <c r="D190" s="262">
        <f t="shared" si="9"/>
        <v>2.6118395327260326E-2</v>
      </c>
    </row>
    <row r="191" spans="2:4">
      <c r="B191" s="256">
        <v>50557</v>
      </c>
      <c r="C191" s="257">
        <f t="shared" si="8"/>
        <v>2.9701702123790841</v>
      </c>
      <c r="D191" s="262">
        <f t="shared" si="9"/>
        <v>2.6292517962775392E-2</v>
      </c>
    </row>
    <row r="192" spans="2:4">
      <c r="B192" s="253">
        <v>50587</v>
      </c>
      <c r="C192" s="260">
        <f t="shared" si="8"/>
        <v>2.9966380137949447</v>
      </c>
      <c r="D192" s="264">
        <f t="shared" si="9"/>
        <v>2.6467801415860564E-2</v>
      </c>
    </row>
    <row r="193" spans="2:4">
      <c r="B193" s="256">
        <v>50618</v>
      </c>
      <c r="C193" s="257">
        <f t="shared" si="8"/>
        <v>3.0232822672202442</v>
      </c>
      <c r="D193" s="262">
        <f t="shared" si="9"/>
        <v>2.6644253425299632E-2</v>
      </c>
    </row>
    <row r="194" spans="2:4">
      <c r="B194" s="256">
        <v>50649</v>
      </c>
      <c r="C194" s="257">
        <f t="shared" si="8"/>
        <v>3.0501041490017125</v>
      </c>
      <c r="D194" s="262">
        <f t="shared" si="9"/>
        <v>2.6821881781468295E-2</v>
      </c>
    </row>
    <row r="195" spans="2:4">
      <c r="B195" s="256">
        <v>50679</v>
      </c>
      <c r="C195" s="257">
        <f t="shared" si="8"/>
        <v>3.0771048433283905</v>
      </c>
      <c r="D195" s="262">
        <f t="shared" si="9"/>
        <v>2.7000694326678086E-2</v>
      </c>
    </row>
    <row r="196" spans="2:4">
      <c r="B196" s="256">
        <v>50710</v>
      </c>
      <c r="C196" s="257">
        <f t="shared" si="8"/>
        <v>3.1042855422839133</v>
      </c>
      <c r="D196" s="262">
        <f t="shared" si="9"/>
        <v>2.7180698955522605E-2</v>
      </c>
    </row>
    <row r="197" spans="2:4">
      <c r="B197" s="258">
        <v>50740</v>
      </c>
      <c r="C197" s="259">
        <f t="shared" si="8"/>
        <v>3.1316474458991395</v>
      </c>
      <c r="D197" s="263">
        <f t="shared" si="9"/>
        <v>2.7361903615226089E-2</v>
      </c>
    </row>
    <row r="198" spans="2:4">
      <c r="B198" s="253">
        <v>50771</v>
      </c>
      <c r="C198" s="260">
        <f t="shared" si="8"/>
        <v>3.1591917622051335</v>
      </c>
      <c r="D198" s="264">
        <f t="shared" si="9"/>
        <v>2.754431630599426E-2</v>
      </c>
    </row>
    <row r="199" spans="2:4">
      <c r="B199" s="256">
        <v>50802</v>
      </c>
      <c r="C199" s="257">
        <f t="shared" si="8"/>
        <v>3.186919707286501</v>
      </c>
      <c r="D199" s="262">
        <f t="shared" si="9"/>
        <v>2.7727945081367559E-2</v>
      </c>
    </row>
    <row r="200" spans="2:4">
      <c r="B200" s="256">
        <v>50830</v>
      </c>
      <c r="C200" s="257">
        <f t="shared" si="8"/>
        <v>3.2148325053350777</v>
      </c>
      <c r="D200" s="262">
        <f t="shared" si="9"/>
        <v>2.7912798048576676E-2</v>
      </c>
    </row>
    <row r="201" spans="2:4">
      <c r="B201" s="256">
        <v>50861</v>
      </c>
      <c r="C201" s="257">
        <f t="shared" si="8"/>
        <v>3.2429313887039783</v>
      </c>
      <c r="D201" s="262">
        <f t="shared" si="9"/>
        <v>2.8098883368900523E-2</v>
      </c>
    </row>
    <row r="202" spans="2:4">
      <c r="B202" s="256">
        <v>50891</v>
      </c>
      <c r="C202" s="257">
        <f t="shared" si="8"/>
        <v>3.2712175979620048</v>
      </c>
      <c r="D202" s="262">
        <f t="shared" si="9"/>
        <v>2.828620925802652E-2</v>
      </c>
    </row>
    <row r="203" spans="2:4">
      <c r="B203" s="256">
        <v>50922</v>
      </c>
      <c r="C203" s="257">
        <f t="shared" si="8"/>
        <v>3.2996923819484181</v>
      </c>
      <c r="D203" s="262">
        <f t="shared" si="9"/>
        <v>2.8474783986413371E-2</v>
      </c>
    </row>
    <row r="204" spans="2:4">
      <c r="B204" s="253">
        <v>50952</v>
      </c>
      <c r="C204" s="260">
        <f t="shared" si="8"/>
        <v>3.3283569978280743</v>
      </c>
      <c r="D204" s="264">
        <f t="shared" si="9"/>
        <v>2.8664615879656123E-2</v>
      </c>
    </row>
    <row r="205" spans="2:4">
      <c r="B205" s="256">
        <v>50983</v>
      </c>
      <c r="C205" s="257">
        <f t="shared" si="8"/>
        <v>3.3572127111469281</v>
      </c>
      <c r="D205" s="262">
        <f t="shared" si="9"/>
        <v>2.8855713318853827E-2</v>
      </c>
    </row>
    <row r="206" spans="2:4">
      <c r="B206" s="256">
        <v>51014</v>
      </c>
      <c r="C206" s="257">
        <f t="shared" si="8"/>
        <v>3.3862607958879076</v>
      </c>
      <c r="D206" s="262">
        <f t="shared" si="9"/>
        <v>2.9048084740979526E-2</v>
      </c>
    </row>
    <row r="207" spans="2:4">
      <c r="B207" s="256">
        <v>51044</v>
      </c>
      <c r="C207" s="257">
        <f t="shared" si="8"/>
        <v>3.4155025345271603</v>
      </c>
      <c r="D207" s="262">
        <f t="shared" si="9"/>
        <v>2.924173863925272E-2</v>
      </c>
    </row>
    <row r="208" spans="2:4">
      <c r="B208" s="256">
        <v>51075</v>
      </c>
      <c r="C208" s="257">
        <f t="shared" si="8"/>
        <v>3.4449392180906746</v>
      </c>
      <c r="D208" s="262">
        <f t="shared" si="9"/>
        <v>2.9436683563514403E-2</v>
      </c>
    </row>
    <row r="209" spans="2:4">
      <c r="B209" s="258">
        <v>51105</v>
      </c>
      <c r="C209" s="259">
        <f t="shared" si="8"/>
        <v>3.4745721462112793</v>
      </c>
      <c r="D209" s="263">
        <f t="shared" si="9"/>
        <v>2.9632928120604498E-2</v>
      </c>
    </row>
    <row r="210" spans="2:4">
      <c r="B210" s="253">
        <v>51136</v>
      </c>
      <c r="C210" s="260">
        <f t="shared" si="8"/>
        <v>3.5044026271860211</v>
      </c>
      <c r="D210" s="264">
        <f t="shared" si="9"/>
        <v>2.9830480974741867E-2</v>
      </c>
    </row>
    <row r="211" spans="2:4">
      <c r="B211" s="256">
        <v>51167</v>
      </c>
      <c r="C211" s="257">
        <f t="shared" si="8"/>
        <v>3.5344319780339282</v>
      </c>
      <c r="D211" s="262">
        <f t="shared" si="9"/>
        <v>3.0029350847906811E-2</v>
      </c>
    </row>
    <row r="212" spans="2:4">
      <c r="B212" s="256">
        <v>51196</v>
      </c>
      <c r="C212" s="257">
        <f t="shared" si="8"/>
        <v>3.5646615245541544</v>
      </c>
      <c r="D212" s="262">
        <f t="shared" si="9"/>
        <v>3.0229546520226188E-2</v>
      </c>
    </row>
    <row r="213" spans="2:4">
      <c r="B213" s="256">
        <v>51227</v>
      </c>
      <c r="C213" s="257">
        <f t="shared" si="8"/>
        <v>3.5950926013845153</v>
      </c>
      <c r="D213" s="262">
        <f t="shared" si="9"/>
        <v>3.0431076830361028E-2</v>
      </c>
    </row>
    <row r="214" spans="2:4">
      <c r="B214" s="256">
        <v>51257</v>
      </c>
      <c r="C214" s="257">
        <f t="shared" si="8"/>
        <v>3.6257265520604118</v>
      </c>
      <c r="D214" s="262">
        <f t="shared" si="9"/>
        <v>3.0633950675896766E-2</v>
      </c>
    </row>
    <row r="215" spans="2:4">
      <c r="B215" s="256">
        <v>51288</v>
      </c>
      <c r="C215" s="257">
        <f t="shared" si="8"/>
        <v>3.6565647290741481</v>
      </c>
      <c r="D215" s="262">
        <f t="shared" si="9"/>
        <v>3.083817701373608E-2</v>
      </c>
    </row>
    <row r="216" spans="2:4">
      <c r="B216" s="253">
        <v>51318</v>
      </c>
      <c r="C216" s="260">
        <f t="shared" si="8"/>
        <v>3.6876084939346425</v>
      </c>
      <c r="D216" s="264">
        <f t="shared" si="9"/>
        <v>3.1043764860494323E-2</v>
      </c>
    </row>
    <row r="217" spans="2:4">
      <c r="B217" s="256">
        <v>51349</v>
      </c>
      <c r="C217" s="257">
        <f t="shared" si="8"/>
        <v>3.7188592172275401</v>
      </c>
      <c r="D217" s="262">
        <f t="shared" si="9"/>
        <v>3.1250723292897617E-2</v>
      </c>
    </row>
    <row r="218" spans="2:4">
      <c r="B218" s="256">
        <v>51380</v>
      </c>
      <c r="C218" s="257">
        <f t="shared" ref="C218:C221" si="10">C217+D218</f>
        <v>3.7503182786757239</v>
      </c>
      <c r="D218" s="262">
        <f t="shared" ref="D218:D221" si="11">(1+C217)*$G$8</f>
        <v>3.1459061448183605E-2</v>
      </c>
    </row>
    <row r="219" spans="2:4">
      <c r="B219" s="256">
        <v>51410</v>
      </c>
      <c r="C219" s="257">
        <f t="shared" si="10"/>
        <v>3.7819870672002285</v>
      </c>
      <c r="D219" s="262">
        <f t="shared" si="11"/>
        <v>3.1668788524504832E-2</v>
      </c>
    </row>
    <row r="220" spans="2:4">
      <c r="B220" s="256">
        <v>51441</v>
      </c>
      <c r="C220" s="257">
        <f t="shared" si="10"/>
        <v>3.8138669809815635</v>
      </c>
      <c r="D220" s="262">
        <f t="shared" si="11"/>
        <v>3.1879913781334861E-2</v>
      </c>
    </row>
    <row r="221" spans="2:4">
      <c r="B221" s="258">
        <v>51471</v>
      </c>
      <c r="C221" s="259">
        <f t="shared" si="10"/>
        <v>3.8459594275214406</v>
      </c>
      <c r="D221" s="263">
        <f t="shared" si="11"/>
        <v>3.2092446539877091E-2</v>
      </c>
    </row>
  </sheetData>
  <sheetProtection algorithmName="SHA-512" hashValue="Fu1FXUxPFhlEk5ZDsFVheS+61NoGXFhIN+HooqfWMBcnNNmRXDDw4NARvk34mXN3JJlCySiMHh8FhZu6qk9ErA==" saltValue="uHpZDZu2HHj99908H8d11A==" spinCount="100000" sheet="1" objects="1" scenarios="1" selectLockedCells="1" selectUnlockedCells="1"/>
  <printOptions horizontalCentered="1"/>
  <pageMargins left="0.25" right="0.25"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Quick Inflation Factor Update</vt:lpstr>
      <vt:lpstr>Quick Inflation Date Update</vt:lpstr>
      <vt:lpstr>PBW_Summary</vt:lpstr>
      <vt:lpstr>PBW</vt:lpstr>
      <vt:lpstr>PBW_Summary_NoInflation</vt:lpstr>
      <vt:lpstr>PBW_NoInflation</vt:lpstr>
      <vt:lpstr>ENR</vt:lpstr>
      <vt:lpstr>DFD Inflation Estimation Tool</vt:lpstr>
      <vt:lpstr>DFD Inflation Summary</vt:lpstr>
      <vt:lpstr>UW Escalation Calculation</vt:lpstr>
      <vt:lpstr>READ ME</vt:lpstr>
      <vt:lpstr>COST GUIDELINES</vt:lpstr>
      <vt:lpstr>SAMPLE</vt:lpstr>
      <vt:lpstr>LOOKUPS</vt:lpstr>
      <vt:lpstr>DURATION</vt:lpstr>
      <vt:lpstr>'COST GUIDELINES'!ENR</vt:lpstr>
      <vt:lpstr>PBW_NoInflation!ENR</vt:lpstr>
      <vt:lpstr>'READ ME'!ENR</vt:lpstr>
      <vt:lpstr>SAMPLE!ENR</vt:lpstr>
      <vt:lpstr>ENR</vt:lpstr>
      <vt:lpstr>'COST GUIDELINES'!Print_Area</vt:lpstr>
      <vt:lpstr>PBW!Print_Area</vt:lpstr>
      <vt:lpstr>PBW_NoInflation!Print_Area</vt:lpstr>
      <vt:lpstr>PBW_Summary!Print_Area</vt:lpstr>
      <vt:lpstr>PBW_Summary_NoInflation!Print_Area</vt:lpstr>
      <vt:lpstr>'Quick Inflation Date Update'!Print_Area</vt:lpstr>
      <vt:lpstr>'Quick Inflation Factor Update'!Print_Area</vt:lpstr>
      <vt:lpstr>'READ ME'!Print_Area</vt:lpstr>
      <vt:lpstr>SAMPLE!Print_Area</vt:lpstr>
      <vt:lpstr>PROJECTTYPE</vt:lpstr>
      <vt:lpstr>'COST GUIDELINES'!TOTCONST</vt:lpstr>
      <vt:lpstr>PBW_NoInflation!TOTCONST</vt:lpstr>
      <vt:lpstr>'READ ME'!TOTCONST</vt:lpstr>
      <vt:lpstr>SAMPLE!TOTCONST</vt:lpstr>
      <vt:lpstr>TOTCONST</vt:lpstr>
      <vt:lpstr>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worksheet</dc:title>
  <dc:creator>CAPITAL Planning &amp; BUDGET</dc:creator>
  <cp:lastModifiedBy>Thomas Bittner</cp:lastModifiedBy>
  <cp:lastPrinted>2023-12-09T00:40:06Z</cp:lastPrinted>
  <dcterms:created xsi:type="dcterms:W3CDTF">1997-12-08T19:36:59Z</dcterms:created>
  <dcterms:modified xsi:type="dcterms:W3CDTF">2024-02-29T03:48:30Z</dcterms:modified>
</cp:coreProperties>
</file>